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ttps://d.docs.live.net/4fbf5a871eb7e134/Documentos/INFORMACIÓN PUBLICA - 16-04-2020/2024 Informacion www asotacgua.com/12 DICIEMBRE/Numeral 04/"/>
    </mc:Choice>
  </mc:AlternateContent>
  <xr:revisionPtr revIDLastSave="41" documentId="8_{0327EB74-6B72-4A10-8FB8-A3325B85E02C}" xr6:coauthVersionLast="47" xr6:coauthVersionMax="47" xr10:uidLastSave="{96E10BF0-A790-4F6F-AA67-57A174A10CB9}"/>
  <bookViews>
    <workbookView xWindow="-120" yWindow="-120" windowWidth="29040" windowHeight="15720" tabRatio="821" activeTab="11" xr2:uid="{00000000-000D-0000-FFFF-FFFF00000000}"/>
  </bookViews>
  <sheets>
    <sheet name="ENERO" sheetId="27" r:id="rId1"/>
    <sheet name="FEBRERO" sheetId="28" r:id="rId2"/>
    <sheet name="MARZO " sheetId="29" r:id="rId3"/>
    <sheet name="ABRIL" sheetId="30" r:id="rId4"/>
    <sheet name="MAYO" sheetId="31" r:id="rId5"/>
    <sheet name="JUNIO" sheetId="32" r:id="rId6"/>
    <sheet name="JULIO" sheetId="33" r:id="rId7"/>
    <sheet name="AGOSTO" sheetId="34" r:id="rId8"/>
    <sheet name="SEPTIEMBRE" sheetId="35" r:id="rId9"/>
    <sheet name="OCTUBRE" sheetId="36" r:id="rId10"/>
    <sheet name="NOVIEMBRE" sheetId="37" r:id="rId11"/>
    <sheet name="DICIEMBRE" sheetId="38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8" i="38" l="1"/>
  <c r="M28" i="38"/>
  <c r="L28" i="38"/>
  <c r="N28" i="38" s="1"/>
  <c r="M27" i="38"/>
  <c r="L27" i="38"/>
  <c r="M26" i="38"/>
  <c r="L26" i="38"/>
  <c r="N26" i="38" s="1"/>
  <c r="M25" i="38"/>
  <c r="L25" i="38"/>
  <c r="M24" i="38"/>
  <c r="L24" i="38"/>
  <c r="N24" i="38" s="1"/>
  <c r="M23" i="38"/>
  <c r="L23" i="38"/>
  <c r="N23" i="38" s="1"/>
  <c r="M22" i="38"/>
  <c r="L22" i="38"/>
  <c r="N22" i="38" s="1"/>
  <c r="M21" i="38"/>
  <c r="L21" i="38"/>
  <c r="N21" i="38" s="1"/>
  <c r="M20" i="38"/>
  <c r="L20" i="38"/>
  <c r="N20" i="38" s="1"/>
  <c r="M19" i="38"/>
  <c r="L19" i="38"/>
  <c r="L18" i="38"/>
  <c r="N18" i="38" s="1"/>
  <c r="A16" i="38"/>
  <c r="A19" i="38" s="1"/>
  <c r="A20" i="38" s="1"/>
  <c r="A21" i="38" s="1"/>
  <c r="A22" i="38" s="1"/>
  <c r="A23" i="38" s="1"/>
  <c r="A24" i="38" s="1"/>
  <c r="A25" i="38" s="1"/>
  <c r="A26" i="38" s="1"/>
  <c r="A14" i="38"/>
  <c r="M27" i="37"/>
  <c r="M26" i="37"/>
  <c r="M25" i="37"/>
  <c r="M24" i="37"/>
  <c r="M23" i="37"/>
  <c r="M22" i="37"/>
  <c r="M21" i="37"/>
  <c r="M18" i="37"/>
  <c r="N27" i="38" l="1"/>
  <c r="N25" i="38"/>
  <c r="N19" i="38"/>
  <c r="L27" i="37"/>
  <c r="N27" i="37" s="1"/>
  <c r="L26" i="37"/>
  <c r="N26" i="37" s="1"/>
  <c r="L25" i="37"/>
  <c r="N25" i="37" s="1"/>
  <c r="N24" i="37"/>
  <c r="L24" i="37"/>
  <c r="L23" i="37"/>
  <c r="L22" i="37"/>
  <c r="N22" i="37" s="1"/>
  <c r="L21" i="37"/>
  <c r="N21" i="37" s="1"/>
  <c r="N20" i="37"/>
  <c r="M20" i="37"/>
  <c r="L20" i="37"/>
  <c r="N19" i="37"/>
  <c r="M19" i="37"/>
  <c r="L19" i="37"/>
  <c r="L18" i="37"/>
  <c r="N18" i="37" s="1"/>
  <c r="N17" i="37"/>
  <c r="M17" i="37"/>
  <c r="L17" i="37"/>
  <c r="A17" i="37"/>
  <c r="A18" i="37" s="1"/>
  <c r="A19" i="37" s="1"/>
  <c r="A20" i="37" s="1"/>
  <c r="A21" i="37" s="1"/>
  <c r="A22" i="37" s="1"/>
  <c r="A23" i="37" s="1"/>
  <c r="A24" i="37" s="1"/>
  <c r="A25" i="37" s="1"/>
  <c r="A16" i="37"/>
  <c r="A14" i="37"/>
  <c r="M27" i="36"/>
  <c r="M26" i="36"/>
  <c r="M25" i="36"/>
  <c r="M24" i="36"/>
  <c r="M23" i="36"/>
  <c r="M21" i="36"/>
  <c r="M18" i="36"/>
  <c r="N23" i="37" l="1"/>
  <c r="L27" i="36"/>
  <c r="N27" i="36" s="1"/>
  <c r="L26" i="36"/>
  <c r="N26" i="36" s="1"/>
  <c r="L25" i="36"/>
  <c r="N25" i="36" s="1"/>
  <c r="N24" i="36"/>
  <c r="L24" i="36"/>
  <c r="L23" i="36"/>
  <c r="M22" i="36"/>
  <c r="L22" i="36"/>
  <c r="N22" i="36" s="1"/>
  <c r="L21" i="36"/>
  <c r="M20" i="36"/>
  <c r="N20" i="36" s="1"/>
  <c r="L20" i="36"/>
  <c r="M19" i="36"/>
  <c r="L19" i="36"/>
  <c r="N19" i="36" s="1"/>
  <c r="L18" i="36"/>
  <c r="M17" i="36"/>
  <c r="L17" i="36"/>
  <c r="A14" i="36"/>
  <c r="A16" i="36" s="1"/>
  <c r="A17" i="36" s="1"/>
  <c r="A18" i="36" s="1"/>
  <c r="A19" i="36" s="1"/>
  <c r="A20" i="36" s="1"/>
  <c r="A21" i="36" s="1"/>
  <c r="A22" i="36" s="1"/>
  <c r="A23" i="36" s="1"/>
  <c r="A24" i="36" s="1"/>
  <c r="A25" i="36" s="1"/>
  <c r="M27" i="35"/>
  <c r="M26" i="35"/>
  <c r="M24" i="35"/>
  <c r="M23" i="35"/>
  <c r="M22" i="35"/>
  <c r="M21" i="35"/>
  <c r="M19" i="35"/>
  <c r="M18" i="35"/>
  <c r="L27" i="35"/>
  <c r="N27" i="35" s="1"/>
  <c r="L26" i="35"/>
  <c r="M25" i="35"/>
  <c r="L25" i="35"/>
  <c r="L24" i="35"/>
  <c r="N24" i="35" s="1"/>
  <c r="L23" i="35"/>
  <c r="L22" i="35"/>
  <c r="L21" i="35"/>
  <c r="N21" i="35" s="1"/>
  <c r="M20" i="35"/>
  <c r="L20" i="35"/>
  <c r="L19" i="35"/>
  <c r="N19" i="35" s="1"/>
  <c r="L18" i="35"/>
  <c r="M17" i="35"/>
  <c r="L17" i="35"/>
  <c r="A14" i="35"/>
  <c r="A16" i="35" s="1"/>
  <c r="A17" i="35" s="1"/>
  <c r="A18" i="35" s="1"/>
  <c r="A19" i="35" s="1"/>
  <c r="A20" i="35" s="1"/>
  <c r="A21" i="35" s="1"/>
  <c r="A22" i="35" s="1"/>
  <c r="A23" i="35" s="1"/>
  <c r="A24" i="35" s="1"/>
  <c r="A25" i="35" s="1"/>
  <c r="M27" i="34"/>
  <c r="M26" i="34"/>
  <c r="M24" i="34"/>
  <c r="M23" i="34"/>
  <c r="M22" i="34"/>
  <c r="M21" i="34"/>
  <c r="M19" i="34"/>
  <c r="M18" i="34"/>
  <c r="L27" i="34"/>
  <c r="L26" i="34"/>
  <c r="M25" i="34"/>
  <c r="L25" i="34"/>
  <c r="N25" i="34" s="1"/>
  <c r="L24" i="34"/>
  <c r="L23" i="34"/>
  <c r="L22" i="34"/>
  <c r="L21" i="34"/>
  <c r="M20" i="34"/>
  <c r="L20" i="34"/>
  <c r="N20" i="34" s="1"/>
  <c r="L19" i="34"/>
  <c r="N19" i="34" s="1"/>
  <c r="L18" i="34"/>
  <c r="M17" i="34"/>
  <c r="L17" i="34"/>
  <c r="N17" i="34" s="1"/>
  <c r="A14" i="34"/>
  <c r="A16" i="34" s="1"/>
  <c r="A17" i="34" s="1"/>
  <c r="A18" i="34" s="1"/>
  <c r="A19" i="34" s="1"/>
  <c r="A20" i="34" s="1"/>
  <c r="A21" i="34" s="1"/>
  <c r="A22" i="34" s="1"/>
  <c r="A23" i="34" s="1"/>
  <c r="A24" i="34" s="1"/>
  <c r="A25" i="34" s="1"/>
  <c r="M27" i="33"/>
  <c r="M26" i="33"/>
  <c r="M24" i="33"/>
  <c r="M23" i="33"/>
  <c r="M22" i="33"/>
  <c r="M21" i="33"/>
  <c r="M19" i="33"/>
  <c r="M18" i="33"/>
  <c r="L28" i="33"/>
  <c r="N28" i="33" s="1"/>
  <c r="L27" i="33"/>
  <c r="N27" i="33" s="1"/>
  <c r="L26" i="33"/>
  <c r="N26" i="33" s="1"/>
  <c r="M25" i="33"/>
  <c r="L25" i="33"/>
  <c r="N25" i="33" s="1"/>
  <c r="L24" i="33"/>
  <c r="L23" i="33"/>
  <c r="L22" i="33"/>
  <c r="L21" i="33"/>
  <c r="M20" i="33"/>
  <c r="L20" i="33"/>
  <c r="N20" i="33" s="1"/>
  <c r="L19" i="33"/>
  <c r="L18" i="33"/>
  <c r="M17" i="33"/>
  <c r="L17" i="33"/>
  <c r="A14" i="33"/>
  <c r="A16" i="33" s="1"/>
  <c r="A17" i="33" s="1"/>
  <c r="A18" i="33" s="1"/>
  <c r="A19" i="33" s="1"/>
  <c r="A20" i="33" s="1"/>
  <c r="A21" i="33" s="1"/>
  <c r="A22" i="33" s="1"/>
  <c r="A23" i="33" s="1"/>
  <c r="A24" i="33" s="1"/>
  <c r="A25" i="33" s="1"/>
  <c r="M27" i="32"/>
  <c r="M26" i="32"/>
  <c r="M24" i="32"/>
  <c r="M23" i="32"/>
  <c r="M21" i="32"/>
  <c r="M18" i="32"/>
  <c r="N22" i="33" l="1"/>
  <c r="N23" i="33"/>
  <c r="N17" i="33"/>
  <c r="N26" i="34"/>
  <c r="N17" i="35"/>
  <c r="N25" i="35"/>
  <c r="N23" i="35"/>
  <c r="N26" i="35"/>
  <c r="N22" i="35"/>
  <c r="N20" i="35"/>
  <c r="N18" i="35"/>
  <c r="N17" i="36"/>
  <c r="N21" i="36"/>
  <c r="N23" i="36"/>
  <c r="N18" i="36"/>
  <c r="N27" i="34"/>
  <c r="N23" i="34"/>
  <c r="N22" i="34"/>
  <c r="N18" i="34"/>
  <c r="N21" i="34"/>
  <c r="N24" i="34"/>
  <c r="N24" i="33"/>
  <c r="N19" i="33"/>
  <c r="N21" i="33"/>
  <c r="N18" i="33"/>
  <c r="L28" i="32" l="1"/>
  <c r="N28" i="32" s="1"/>
  <c r="L27" i="32"/>
  <c r="N27" i="32" s="1"/>
  <c r="L26" i="32"/>
  <c r="N26" i="32" s="1"/>
  <c r="M25" i="32"/>
  <c r="L25" i="32"/>
  <c r="N25" i="32" s="1"/>
  <c r="L24" i="32"/>
  <c r="N24" i="32" s="1"/>
  <c r="L23" i="32"/>
  <c r="N23" i="32" s="1"/>
  <c r="L22" i="32"/>
  <c r="N22" i="32" s="1"/>
  <c r="L21" i="32"/>
  <c r="N21" i="32" s="1"/>
  <c r="M20" i="32"/>
  <c r="L20" i="32"/>
  <c r="M19" i="32"/>
  <c r="L19" i="32"/>
  <c r="N19" i="32" s="1"/>
  <c r="L18" i="32"/>
  <c r="N18" i="32" s="1"/>
  <c r="M17" i="32"/>
  <c r="L17" i="32"/>
  <c r="N17" i="32" s="1"/>
  <c r="A14" i="32"/>
  <c r="A16" i="32" s="1"/>
  <c r="A17" i="32" s="1"/>
  <c r="A18" i="32" s="1"/>
  <c r="A19" i="32" s="1"/>
  <c r="A20" i="32" s="1"/>
  <c r="A21" i="32" s="1"/>
  <c r="A22" i="32" s="1"/>
  <c r="A23" i="32" s="1"/>
  <c r="A24" i="32" s="1"/>
  <c r="A25" i="32" s="1"/>
  <c r="L28" i="30"/>
  <c r="N28" i="30" s="1"/>
  <c r="L27" i="30"/>
  <c r="N27" i="30" s="1"/>
  <c r="L26" i="30"/>
  <c r="N26" i="30" s="1"/>
  <c r="M25" i="30"/>
  <c r="L25" i="30"/>
  <c r="N25" i="30" s="1"/>
  <c r="L24" i="30"/>
  <c r="N24" i="30" s="1"/>
  <c r="L23" i="30"/>
  <c r="N23" i="30" s="1"/>
  <c r="L22" i="30"/>
  <c r="N22" i="30" s="1"/>
  <c r="L21" i="30"/>
  <c r="N21" i="30" s="1"/>
  <c r="M20" i="30"/>
  <c r="L20" i="30"/>
  <c r="M19" i="30"/>
  <c r="L19" i="30"/>
  <c r="N19" i="30" s="1"/>
  <c r="L18" i="30"/>
  <c r="N18" i="30" s="1"/>
  <c r="M17" i="30"/>
  <c r="L17" i="30"/>
  <c r="N17" i="30" s="1"/>
  <c r="A14" i="30"/>
  <c r="A16" i="30" s="1"/>
  <c r="A17" i="30" s="1"/>
  <c r="A18" i="30" s="1"/>
  <c r="A19" i="30" s="1"/>
  <c r="A20" i="30" s="1"/>
  <c r="A21" i="30" s="1"/>
  <c r="A22" i="30" s="1"/>
  <c r="A23" i="30" s="1"/>
  <c r="A24" i="30" s="1"/>
  <c r="A25" i="30" s="1"/>
  <c r="N20" i="30" l="1"/>
  <c r="N20" i="32"/>
  <c r="L28" i="31"/>
  <c r="N28" i="31" s="1"/>
  <c r="M27" i="31"/>
  <c r="L27" i="31"/>
  <c r="N27" i="31" s="1"/>
  <c r="M26" i="31"/>
  <c r="L26" i="31"/>
  <c r="N26" i="31" s="1"/>
  <c r="M25" i="31"/>
  <c r="L25" i="31"/>
  <c r="N25" i="31" s="1"/>
  <c r="M24" i="31"/>
  <c r="L24" i="31"/>
  <c r="N24" i="31" s="1"/>
  <c r="M23" i="31"/>
  <c r="L23" i="31"/>
  <c r="L22" i="31"/>
  <c r="N22" i="31" s="1"/>
  <c r="M21" i="31"/>
  <c r="L21" i="31"/>
  <c r="N21" i="31" s="1"/>
  <c r="M20" i="31"/>
  <c r="L20" i="31"/>
  <c r="N20" i="31" s="1"/>
  <c r="M19" i="31"/>
  <c r="L19" i="31"/>
  <c r="N19" i="31" s="1"/>
  <c r="M18" i="31"/>
  <c r="L18" i="31"/>
  <c r="N18" i="31" s="1"/>
  <c r="M17" i="31"/>
  <c r="L17" i="31"/>
  <c r="A14" i="3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N17" i="31" l="1"/>
  <c r="N23" i="31"/>
  <c r="M25" i="29"/>
  <c r="M22" i="29"/>
  <c r="M19" i="29"/>
  <c r="M17" i="29"/>
  <c r="M27" i="29"/>
  <c r="M26" i="29"/>
  <c r="M24" i="29"/>
  <c r="M23" i="29"/>
  <c r="M21" i="29"/>
  <c r="M18" i="29"/>
  <c r="L27" i="29" l="1"/>
  <c r="N27" i="29" s="1"/>
  <c r="L26" i="29"/>
  <c r="N26" i="29" s="1"/>
  <c r="L25" i="29"/>
  <c r="N25" i="29" s="1"/>
  <c r="L24" i="29"/>
  <c r="N24" i="29" s="1"/>
  <c r="L23" i="29"/>
  <c r="N23" i="29" s="1"/>
  <c r="L22" i="29"/>
  <c r="N22" i="29" s="1"/>
  <c r="L21" i="29"/>
  <c r="N21" i="29" s="1"/>
  <c r="M20" i="29"/>
  <c r="L20" i="29"/>
  <c r="N20" i="29" s="1"/>
  <c r="N19" i="29"/>
  <c r="L19" i="29"/>
  <c r="N18" i="29"/>
  <c r="L18" i="29"/>
  <c r="L17" i="29"/>
  <c r="N17" i="29" s="1"/>
  <c r="A14" i="29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M27" i="28"/>
  <c r="M26" i="28"/>
  <c r="M25" i="28"/>
  <c r="M24" i="28"/>
  <c r="M23" i="28"/>
  <c r="M22" i="28"/>
  <c r="M21" i="28"/>
  <c r="M20" i="28"/>
  <c r="M19" i="28"/>
  <c r="M18" i="28"/>
  <c r="M17" i="28"/>
  <c r="L27" i="28"/>
  <c r="L26" i="28"/>
  <c r="N26" i="28" s="1"/>
  <c r="L25" i="28"/>
  <c r="L24" i="28"/>
  <c r="L23" i="28"/>
  <c r="L22" i="28"/>
  <c r="L21" i="28"/>
  <c r="L20" i="28"/>
  <c r="L19" i="28"/>
  <c r="L18" i="28"/>
  <c r="N18" i="28" s="1"/>
  <c r="L17" i="28"/>
  <c r="A16" i="28"/>
  <c r="A17" i="28" s="1"/>
  <c r="A18" i="28" s="1"/>
  <c r="A19" i="28" s="1"/>
  <c r="A20" i="28" s="1"/>
  <c r="A21" i="28" s="1"/>
  <c r="A22" i="28" s="1"/>
  <c r="A23" i="28" s="1"/>
  <c r="A24" i="28" s="1"/>
  <c r="A25" i="28" s="1"/>
  <c r="A14" i="28"/>
  <c r="M17" i="27"/>
  <c r="M18" i="27"/>
  <c r="M19" i="27"/>
  <c r="M20" i="27"/>
  <c r="M21" i="27"/>
  <c r="M22" i="27"/>
  <c r="M23" i="27"/>
  <c r="M24" i="27"/>
  <c r="M25" i="27"/>
  <c r="M27" i="27"/>
  <c r="M26" i="27"/>
  <c r="N21" i="28" l="1"/>
  <c r="N25" i="28"/>
  <c r="N22" i="28"/>
  <c r="N27" i="28"/>
  <c r="N24" i="28"/>
  <c r="N23" i="28"/>
  <c r="N20" i="28"/>
  <c r="N19" i="28"/>
  <c r="N17" i="28"/>
  <c r="L27" i="27"/>
  <c r="N27" i="27" s="1"/>
  <c r="L26" i="27"/>
  <c r="N26" i="27" s="1"/>
  <c r="L25" i="27"/>
  <c r="N25" i="27" s="1"/>
  <c r="L24" i="27"/>
  <c r="L23" i="27"/>
  <c r="L22" i="27"/>
  <c r="L21" i="27"/>
  <c r="L20" i="27"/>
  <c r="N20" i="27" s="1"/>
  <c r="L19" i="27"/>
  <c r="N19" i="27" s="1"/>
  <c r="L18" i="27"/>
  <c r="L17" i="27"/>
  <c r="A17" i="27"/>
  <c r="A18" i="27" s="1"/>
  <c r="A19" i="27" s="1"/>
  <c r="A20" i="27" s="1"/>
  <c r="A21" i="27" s="1"/>
  <c r="A22" i="27" s="1"/>
  <c r="A23" i="27" s="1"/>
  <c r="A24" i="27" s="1"/>
  <c r="A25" i="27" s="1"/>
  <c r="N23" i="27" l="1"/>
  <c r="N17" i="27"/>
  <c r="N24" i="27"/>
  <c r="N22" i="27"/>
  <c r="N21" i="27"/>
  <c r="N18" i="27"/>
</calcChain>
</file>

<file path=xl/sharedStrings.xml><?xml version="1.0" encoding="utf-8"?>
<sst xmlns="http://schemas.openxmlformats.org/spreadsheetml/2006/main" count="1074" uniqueCount="80">
  <si>
    <t>Gerente</t>
  </si>
  <si>
    <t>Secretaria</t>
  </si>
  <si>
    <t>Auxiliar Financiera</t>
  </si>
  <si>
    <t>Auxiliar Administrativo</t>
  </si>
  <si>
    <t xml:space="preserve">Entrenador </t>
  </si>
  <si>
    <t>Auxiliar de Polígonos</t>
  </si>
  <si>
    <t>Alexander Ottoniel Gutiérrez Galindo</t>
  </si>
  <si>
    <t>011</t>
  </si>
  <si>
    <t>Funcionarios, Servidores Públicos, Empleados y Asesores</t>
  </si>
  <si>
    <t>Evelyn Briseyda                                     Patzán Alay</t>
  </si>
  <si>
    <t>Erasmo Catarino                                     López Maldonado</t>
  </si>
  <si>
    <t>Raúl                                     Pineda Mijangos</t>
  </si>
  <si>
    <t>Toribio De Jesús                                     Del Cid Estrada</t>
  </si>
  <si>
    <t>Asesor en materia Administrativa y Financiera</t>
  </si>
  <si>
    <t>(Artículo 10, numeral 4 Ley de Acceso a la Información Pública)</t>
  </si>
  <si>
    <t>No se erogan gastos por Dietas</t>
  </si>
  <si>
    <t>Ad Honórem</t>
  </si>
  <si>
    <t>Presidente Comité Ejecutivo</t>
  </si>
  <si>
    <t>Tesorero Comité Ejecutivo</t>
  </si>
  <si>
    <t>Vocal I Comité Ejecutivo</t>
  </si>
  <si>
    <t>Vocal II Comité Ejecutivo</t>
  </si>
  <si>
    <t xml:space="preserve">No. </t>
  </si>
  <si>
    <t>RENGLÓN</t>
  </si>
  <si>
    <t>Empleado/
Servidor Público</t>
  </si>
  <si>
    <t>CARGO/ SERVICIOS PRESTADOS</t>
  </si>
  <si>
    <t>DEPENDENCIA</t>
  </si>
  <si>
    <t>BONIFICACIÓN PROFESIONAL</t>
  </si>
  <si>
    <t>HONORARIOS</t>
  </si>
  <si>
    <t xml:space="preserve">TOTAL 
INGRESO
</t>
  </si>
  <si>
    <t>TOTAL
DESCUENTOS</t>
  </si>
  <si>
    <t>LÍQUIDO</t>
  </si>
  <si>
    <t>OTRAS REMUNERACIONES
ECONÓMICAS</t>
  </si>
  <si>
    <t>MONTO 
VIÁTICOS</t>
  </si>
  <si>
    <t>NOMBRES 
Y APELLIDOS</t>
  </si>
  <si>
    <t>ASOTAC</t>
  </si>
  <si>
    <t>SUELDO
BASE</t>
  </si>
  <si>
    <t>HORAS
EXTRAS</t>
  </si>
  <si>
    <t>BONO PRODUCTIVIDAD</t>
  </si>
  <si>
    <t>BONO
MENSUAL</t>
  </si>
  <si>
    <t>GASTOS DE BOLSILLO</t>
  </si>
  <si>
    <t>Jorge Augusto                                 Contreras Roldán</t>
  </si>
  <si>
    <t>Marco Antonio                          Gómez Estrada</t>
  </si>
  <si>
    <t>Coordinador Técnico</t>
  </si>
  <si>
    <t>Diana Beatriz Amelia Calderon Vasquez</t>
  </si>
  <si>
    <t>Elmer Arturo Ventura</t>
  </si>
  <si>
    <t>Coordinador Administrativo Financiero</t>
  </si>
  <si>
    <t>Juan Fernando Vega Silva</t>
  </si>
  <si>
    <t>Jenifer Eunice Queche Velasquez</t>
  </si>
  <si>
    <t>Ulysses Rober Dent Davila</t>
  </si>
  <si>
    <t>Edwin Ernesto Paredes Soria</t>
  </si>
  <si>
    <t>Evelicio Hernandez Gonzalez</t>
  </si>
  <si>
    <t>Encargado de Poligonos</t>
  </si>
  <si>
    <t>Juan Luis Rodriguez Gonzalez</t>
  </si>
  <si>
    <t>Asesor Juridico</t>
  </si>
  <si>
    <t>Carlos Arturo Padilla Coronado</t>
  </si>
  <si>
    <t>Entrenador Nacional de Skeet</t>
  </si>
  <si>
    <t>Mensajero</t>
  </si>
  <si>
    <t>Información correspondientes a Enero 2023</t>
  </si>
  <si>
    <t>Vigente Período 2023</t>
  </si>
  <si>
    <t>Información correspondientes a Febrero 2023</t>
  </si>
  <si>
    <t>Información correspondientes a Marzo 2023</t>
  </si>
  <si>
    <t>David Alejandro                                    Contreras Giron</t>
  </si>
  <si>
    <t>David Alejandro                                     Contreras Giron</t>
  </si>
  <si>
    <t>Información correspondientes a Abril 2023</t>
  </si>
  <si>
    <t>Claudia Beatriz Lopez Rojas</t>
  </si>
  <si>
    <t>Secretaria (interinato)</t>
  </si>
  <si>
    <t>Información correspondientes a Mayo 2023</t>
  </si>
  <si>
    <t>Información correspondientes a Junio 2023</t>
  </si>
  <si>
    <t>SUSPENDIDA IGSS</t>
  </si>
  <si>
    <t>Información correspondientes a Julio 2023</t>
  </si>
  <si>
    <t>Información correspondientes a Agosto 2023</t>
  </si>
  <si>
    <t>Información correspondientes a Septiembre 2023</t>
  </si>
  <si>
    <t>Información correspondientes a Octubre 2023</t>
  </si>
  <si>
    <t>Información correspondientes a Noviembre 2023</t>
  </si>
  <si>
    <t>Información correspondientes a diciembre 2023</t>
  </si>
  <si>
    <t>Cristian Diego Bermudez Apel</t>
  </si>
  <si>
    <t>Juan Ramon Schaeffer Samayoa</t>
  </si>
  <si>
    <t>Juan Carlos Romero Arriba</t>
  </si>
  <si>
    <t>Secretario Comité Ejecuivo</t>
  </si>
  <si>
    <t>Asotac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</si>
</sst>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4" formatCode="_-&quot;Q&quot;* #,##0.00_-;\-&quot;Q&quot;* #,##0.00_-;_-&quot;Q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vertical="center"/>
    </xf>
    <xf numFmtId="0" fontId="0" fillId="0" borderId="0" xfId="0" applyAlignment="1">
      <alignment horizontal="centerContinuous"/>
    </xf>
    <xf numFmtId="0" fontId="3" fillId="0" borderId="0" xfId="0" applyFont="1" applyAlignment="1">
      <alignment horizontal="centerContinuous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Continuous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5" fillId="0" borderId="0" xfId="0" applyFont="1" applyAlignment="1">
      <alignment horizontal="centerContinuous"/>
    </xf>
    <xf numFmtId="41" fontId="5" fillId="0" borderId="0" xfId="1" applyNumberFormat="1" applyFont="1" applyAlignment="1">
      <alignment horizontal="centerContinuous"/>
    </xf>
    <xf numFmtId="41" fontId="0" fillId="0" borderId="0" xfId="1" applyNumberFormat="1" applyFont="1" applyAlignment="1">
      <alignment horizontal="centerContinuous"/>
    </xf>
    <xf numFmtId="44" fontId="1" fillId="3" borderId="0" xfId="1" quotePrefix="1" applyNumberFormat="1" applyFont="1" applyFill="1" applyBorder="1" applyAlignment="1">
      <alignment vertical="center"/>
    </xf>
    <xf numFmtId="0" fontId="4" fillId="0" borderId="0" xfId="0" applyFont="1" applyAlignment="1">
      <alignment horizontal="centerContinuous"/>
    </xf>
    <xf numFmtId="43" fontId="0" fillId="0" borderId="1" xfId="1" applyFont="1" applyFill="1" applyBorder="1" applyAlignment="1">
      <alignment vertical="center"/>
    </xf>
    <xf numFmtId="0" fontId="6" fillId="0" borderId="1" xfId="0" quotePrefix="1" applyFont="1" applyBorder="1" applyAlignment="1">
      <alignment horizontal="center" vertical="center" wrapText="1"/>
    </xf>
    <xf numFmtId="0" fontId="8" fillId="0" borderId="0" xfId="0" applyFont="1" applyAlignment="1">
      <alignment horizontal="centerContinuous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4" fontId="1" fillId="0" borderId="0" xfId="1" quotePrefix="1" applyNumberFormat="1" applyFont="1" applyFill="1" applyBorder="1" applyAlignment="1">
      <alignment vertical="center"/>
    </xf>
    <xf numFmtId="41" fontId="5" fillId="0" borderId="0" xfId="1" applyNumberFormat="1" applyFont="1" applyFill="1" applyAlignment="1">
      <alignment horizontal="centerContinuous"/>
    </xf>
    <xf numFmtId="0" fontId="9" fillId="2" borderId="1" xfId="0" applyFont="1" applyFill="1" applyBorder="1" applyAlignment="1">
      <alignment horizontal="center" vertical="center" textRotation="90" wrapText="1"/>
    </xf>
    <xf numFmtId="0" fontId="9" fillId="2" borderId="1" xfId="0" applyFont="1" applyFill="1" applyBorder="1" applyAlignment="1">
      <alignment horizontal="center" vertical="center" textRotation="90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textRotation="90" wrapText="1"/>
    </xf>
    <xf numFmtId="0" fontId="7" fillId="2" borderId="3" xfId="0" applyFont="1" applyFill="1" applyBorder="1" applyAlignment="1">
      <alignment horizontal="center" vertical="center" textRotation="90" wrapText="1"/>
    </xf>
  </cellXfs>
  <cellStyles count="3">
    <cellStyle name="Millares" xfId="1" builtinId="3"/>
    <cellStyle name="Millares 2" xfId="2" xr:uid="{9200F6AE-BD4D-49CE-ADF7-1EF2FF2B73C8}"/>
    <cellStyle name="Normal" xfId="0" builtinId="0"/>
  </cellStyles>
  <dxfs count="0"/>
  <tableStyles count="0" defaultTableStyle="TableStyleMedium2" defaultPivotStyle="PivotStyleLight16"/>
  <colors>
    <mruColors>
      <color rgb="FFECECEC"/>
      <color rgb="FFE3E2C4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1098178</xdr:colOff>
      <xdr:row>0</xdr:row>
      <xdr:rowOff>0</xdr:rowOff>
    </xdr:from>
    <xdr:to>
      <xdr:col>13</xdr:col>
      <xdr:colOff>649941</xdr:colOff>
      <xdr:row>5</xdr:row>
      <xdr:rowOff>112058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F36DF1D-7522-4C3E-AF96-0E290A20C6C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8278" y="0"/>
          <a:ext cx="10086413" cy="130268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1098178</xdr:colOff>
      <xdr:row>0</xdr:row>
      <xdr:rowOff>0</xdr:rowOff>
    </xdr:from>
    <xdr:to>
      <xdr:col>13</xdr:col>
      <xdr:colOff>649941</xdr:colOff>
      <xdr:row>5</xdr:row>
      <xdr:rowOff>112058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8FF8AD1-2D08-4600-9DD6-1EB27AEB1CD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8278" y="0"/>
          <a:ext cx="10086413" cy="130268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1098178</xdr:colOff>
      <xdr:row>0</xdr:row>
      <xdr:rowOff>0</xdr:rowOff>
    </xdr:from>
    <xdr:to>
      <xdr:col>13</xdr:col>
      <xdr:colOff>649941</xdr:colOff>
      <xdr:row>5</xdr:row>
      <xdr:rowOff>112058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3077EA5-3A7E-47AF-A5C2-A52FD4BF4B3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8278" y="0"/>
          <a:ext cx="10086413" cy="130268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1098178</xdr:colOff>
      <xdr:row>0</xdr:row>
      <xdr:rowOff>0</xdr:rowOff>
    </xdr:from>
    <xdr:to>
      <xdr:col>13</xdr:col>
      <xdr:colOff>649941</xdr:colOff>
      <xdr:row>5</xdr:row>
      <xdr:rowOff>112058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E0E6234-5687-46F6-9CD5-381B8EE160C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8278" y="0"/>
          <a:ext cx="10086413" cy="13026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1098178</xdr:colOff>
      <xdr:row>0</xdr:row>
      <xdr:rowOff>0</xdr:rowOff>
    </xdr:from>
    <xdr:to>
      <xdr:col>13</xdr:col>
      <xdr:colOff>649941</xdr:colOff>
      <xdr:row>5</xdr:row>
      <xdr:rowOff>112058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4BAFED-9F5C-428B-9A5C-50470DBA5AA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8278" y="0"/>
          <a:ext cx="10086413" cy="13026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1098178</xdr:colOff>
      <xdr:row>0</xdr:row>
      <xdr:rowOff>0</xdr:rowOff>
    </xdr:from>
    <xdr:to>
      <xdr:col>13</xdr:col>
      <xdr:colOff>649941</xdr:colOff>
      <xdr:row>5</xdr:row>
      <xdr:rowOff>112058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B7C50F7-02D0-4028-A65F-A8B3D77CF14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8278" y="0"/>
          <a:ext cx="10086413" cy="13026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1098178</xdr:colOff>
      <xdr:row>0</xdr:row>
      <xdr:rowOff>0</xdr:rowOff>
    </xdr:from>
    <xdr:to>
      <xdr:col>13</xdr:col>
      <xdr:colOff>649941</xdr:colOff>
      <xdr:row>5</xdr:row>
      <xdr:rowOff>112058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F8F495D-5CBC-4327-BA90-E174FDF9008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8278" y="0"/>
          <a:ext cx="10086413" cy="13026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1098178</xdr:colOff>
      <xdr:row>0</xdr:row>
      <xdr:rowOff>0</xdr:rowOff>
    </xdr:from>
    <xdr:to>
      <xdr:col>13</xdr:col>
      <xdr:colOff>649941</xdr:colOff>
      <xdr:row>5</xdr:row>
      <xdr:rowOff>112058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BC81CA-70DF-4CDF-B884-E8BF594A55D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8278" y="0"/>
          <a:ext cx="10086413" cy="13026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1098178</xdr:colOff>
      <xdr:row>0</xdr:row>
      <xdr:rowOff>0</xdr:rowOff>
    </xdr:from>
    <xdr:to>
      <xdr:col>13</xdr:col>
      <xdr:colOff>649941</xdr:colOff>
      <xdr:row>5</xdr:row>
      <xdr:rowOff>112058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424A472-6AB9-431D-A212-1F8ACD9AA2B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8278" y="0"/>
          <a:ext cx="10086413" cy="13026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1098178</xdr:colOff>
      <xdr:row>0</xdr:row>
      <xdr:rowOff>0</xdr:rowOff>
    </xdr:from>
    <xdr:to>
      <xdr:col>13</xdr:col>
      <xdr:colOff>649941</xdr:colOff>
      <xdr:row>5</xdr:row>
      <xdr:rowOff>112058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EEEF4A1-9CBA-4D0D-BE90-A14AB8BF728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8278" y="0"/>
          <a:ext cx="10086413" cy="130268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1098178</xdr:colOff>
      <xdr:row>0</xdr:row>
      <xdr:rowOff>0</xdr:rowOff>
    </xdr:from>
    <xdr:to>
      <xdr:col>13</xdr:col>
      <xdr:colOff>649941</xdr:colOff>
      <xdr:row>5</xdr:row>
      <xdr:rowOff>112058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A9557EC-E429-412A-B38A-DE783CE7711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8278" y="0"/>
          <a:ext cx="10086413" cy="130268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1098178</xdr:colOff>
      <xdr:row>0</xdr:row>
      <xdr:rowOff>0</xdr:rowOff>
    </xdr:from>
    <xdr:to>
      <xdr:col>13</xdr:col>
      <xdr:colOff>649941</xdr:colOff>
      <xdr:row>5</xdr:row>
      <xdr:rowOff>112058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88F2A89-442F-44D7-8B13-C7C0CEEE03C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8278" y="0"/>
          <a:ext cx="10086413" cy="13026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97850-9307-4811-8E1B-A0C14BEC9F78}">
  <dimension ref="A1:P35"/>
  <sheetViews>
    <sheetView showGridLines="0" topLeftCell="A9" zoomScale="85" zoomScaleNormal="85" workbookViewId="0">
      <selection activeCell="A17" sqref="A17"/>
    </sheetView>
  </sheetViews>
  <sheetFormatPr baseColWidth="10" defaultRowHeight="15" x14ac:dyDescent="0.25"/>
  <cols>
    <col min="1" max="1" width="3.28515625" customWidth="1"/>
    <col min="2" max="2" width="8.7109375" customWidth="1"/>
    <col min="3" max="3" width="25.7109375" customWidth="1"/>
    <col min="4" max="4" width="26.7109375" customWidth="1"/>
    <col min="5" max="5" width="8.7109375" customWidth="1"/>
    <col min="6" max="6" width="12.7109375" customWidth="1"/>
    <col min="7" max="10" width="11.7109375" customWidth="1"/>
    <col min="11" max="11" width="12.28515625" customWidth="1"/>
    <col min="12" max="12" width="12.7109375" customWidth="1"/>
    <col min="13" max="13" width="12.28515625" customWidth="1"/>
    <col min="14" max="16" width="12.7109375" customWidth="1"/>
  </cols>
  <sheetData>
    <row r="1" spans="1:16" ht="18.75" x14ac:dyDescent="0.3">
      <c r="A1" s="10"/>
      <c r="B1" s="10"/>
      <c r="C1" s="10"/>
      <c r="D1" s="10"/>
      <c r="E1" s="10"/>
      <c r="F1" s="10"/>
      <c r="G1" s="11"/>
      <c r="H1" s="10"/>
      <c r="I1" s="10"/>
      <c r="J1" s="10"/>
      <c r="K1" s="10"/>
      <c r="L1" s="10"/>
      <c r="M1" s="10"/>
      <c r="N1" s="10"/>
      <c r="O1" s="10"/>
      <c r="P1" s="10"/>
    </row>
    <row r="2" spans="1:16" ht="18.75" x14ac:dyDescent="0.3">
      <c r="A2" s="10"/>
      <c r="B2" s="10"/>
      <c r="C2" s="10"/>
      <c r="D2" s="10"/>
      <c r="E2" s="10"/>
      <c r="F2" s="10"/>
      <c r="G2" s="11"/>
      <c r="H2" s="10"/>
      <c r="I2" s="10"/>
      <c r="J2" s="10"/>
      <c r="K2" s="10"/>
      <c r="L2" s="10"/>
      <c r="M2" s="10"/>
      <c r="N2" s="10"/>
      <c r="O2" s="10"/>
      <c r="P2" s="10"/>
    </row>
    <row r="3" spans="1:16" ht="18.75" x14ac:dyDescent="0.3">
      <c r="A3" s="10"/>
      <c r="B3" s="10"/>
      <c r="C3" s="10"/>
      <c r="D3" s="10"/>
      <c r="E3" s="10"/>
      <c r="F3" s="10"/>
      <c r="G3" s="11"/>
      <c r="H3" s="10"/>
      <c r="I3" s="10"/>
      <c r="J3" s="10"/>
      <c r="K3" s="10"/>
      <c r="L3" s="10"/>
      <c r="M3" s="10"/>
      <c r="N3" s="10"/>
      <c r="O3" s="10"/>
      <c r="P3" s="10"/>
    </row>
    <row r="4" spans="1:16" ht="18.75" x14ac:dyDescent="0.3">
      <c r="A4" s="10"/>
      <c r="B4" s="10"/>
      <c r="C4" s="10"/>
      <c r="D4" s="10"/>
      <c r="E4" s="10"/>
      <c r="F4" s="10"/>
      <c r="G4" s="11"/>
      <c r="H4" s="10"/>
      <c r="I4" s="10"/>
      <c r="J4" s="10"/>
      <c r="K4" s="10"/>
      <c r="L4" s="10"/>
      <c r="M4" s="10"/>
      <c r="N4" s="10"/>
      <c r="O4" s="10"/>
      <c r="P4" s="10"/>
    </row>
    <row r="5" spans="1:16" ht="18.75" x14ac:dyDescent="0.3">
      <c r="A5" s="10"/>
      <c r="B5" s="10"/>
      <c r="C5" s="10"/>
      <c r="D5" s="10"/>
      <c r="E5" s="10"/>
      <c r="F5" s="10"/>
      <c r="G5" s="11"/>
      <c r="H5" s="10"/>
      <c r="I5" s="10"/>
      <c r="J5" s="10"/>
      <c r="K5" s="10"/>
      <c r="L5" s="10"/>
      <c r="M5" s="10"/>
      <c r="N5" s="10"/>
      <c r="O5" s="10"/>
      <c r="P5" s="10"/>
    </row>
    <row r="6" spans="1:16" ht="18.75" x14ac:dyDescent="0.3">
      <c r="A6" s="10"/>
      <c r="B6" s="10"/>
      <c r="C6" s="10"/>
      <c r="D6" s="10"/>
      <c r="E6" s="10"/>
      <c r="F6" s="10"/>
      <c r="G6" s="21"/>
      <c r="H6" s="10"/>
      <c r="I6" s="10"/>
      <c r="J6" s="10"/>
      <c r="K6" s="10"/>
      <c r="L6" s="10"/>
      <c r="M6" s="10"/>
      <c r="N6" s="10"/>
      <c r="O6" s="10"/>
      <c r="P6" s="10"/>
    </row>
    <row r="7" spans="1:16" ht="18.75" x14ac:dyDescent="0.3">
      <c r="A7" s="10" t="s">
        <v>8</v>
      </c>
      <c r="B7" s="10"/>
      <c r="C7" s="10"/>
      <c r="D7" s="10"/>
      <c r="E7" s="10"/>
      <c r="F7" s="10"/>
      <c r="G7" s="11"/>
      <c r="H7" s="10"/>
      <c r="I7" s="10"/>
      <c r="J7" s="10"/>
      <c r="K7" s="10"/>
      <c r="L7" s="10"/>
      <c r="M7" s="10"/>
      <c r="N7" s="10"/>
      <c r="O7" s="10"/>
      <c r="P7" s="10"/>
    </row>
    <row r="8" spans="1:16" ht="18.75" x14ac:dyDescent="0.3">
      <c r="A8" s="10" t="s">
        <v>57</v>
      </c>
      <c r="B8" s="10"/>
      <c r="C8" s="10"/>
      <c r="D8" s="10"/>
      <c r="E8" s="10"/>
      <c r="F8" s="10"/>
      <c r="G8" s="11"/>
      <c r="H8" s="10"/>
      <c r="I8" s="10"/>
      <c r="J8" s="10"/>
      <c r="K8" s="10"/>
      <c r="L8" s="10"/>
      <c r="M8" s="10"/>
      <c r="N8" s="10"/>
      <c r="O8" s="10"/>
      <c r="P8" s="10"/>
    </row>
    <row r="9" spans="1:16" ht="15.75" x14ac:dyDescent="0.25">
      <c r="A9" s="17" t="s">
        <v>15</v>
      </c>
      <c r="B9" s="4"/>
      <c r="C9" s="4"/>
      <c r="D9" s="4"/>
      <c r="E9" s="4"/>
      <c r="F9" s="4"/>
      <c r="G9" s="12"/>
      <c r="H9" s="4"/>
      <c r="I9" s="4"/>
      <c r="J9" s="4"/>
      <c r="K9" s="4"/>
      <c r="L9" s="4"/>
      <c r="M9" s="4"/>
      <c r="N9" s="4"/>
      <c r="O9" s="4"/>
      <c r="P9" s="4"/>
    </row>
    <row r="10" spans="1:16" ht="15" customHeight="1" x14ac:dyDescent="0.25">
      <c r="A10" s="14"/>
      <c r="B10" s="4"/>
      <c r="C10" s="4"/>
      <c r="D10" s="12"/>
      <c r="E10" s="4"/>
      <c r="F10" s="4"/>
      <c r="G10" s="4"/>
      <c r="H10" s="4"/>
      <c r="I10" s="4"/>
      <c r="J10" s="4"/>
      <c r="K10" s="4"/>
      <c r="L10" s="4"/>
      <c r="M10" s="4"/>
    </row>
    <row r="11" spans="1:16" ht="30" customHeight="1" x14ac:dyDescent="0.25">
      <c r="A11" s="22" t="s">
        <v>21</v>
      </c>
      <c r="B11" s="23" t="s">
        <v>22</v>
      </c>
      <c r="C11" s="19" t="s">
        <v>23</v>
      </c>
      <c r="D11" s="26" t="s">
        <v>24</v>
      </c>
      <c r="E11" s="27" t="s">
        <v>25</v>
      </c>
      <c r="F11" s="22" t="s">
        <v>35</v>
      </c>
      <c r="G11" s="22" t="s">
        <v>36</v>
      </c>
      <c r="H11" s="22" t="s">
        <v>38</v>
      </c>
      <c r="I11" s="22" t="s">
        <v>37</v>
      </c>
      <c r="J11" s="22" t="s">
        <v>26</v>
      </c>
      <c r="K11" s="22" t="s">
        <v>27</v>
      </c>
      <c r="L11" s="22" t="s">
        <v>28</v>
      </c>
      <c r="M11" s="22" t="s">
        <v>29</v>
      </c>
      <c r="N11" s="22" t="s">
        <v>30</v>
      </c>
      <c r="O11" s="24" t="s">
        <v>31</v>
      </c>
      <c r="P11" s="25"/>
    </row>
    <row r="12" spans="1:16" ht="48" customHeight="1" x14ac:dyDescent="0.25">
      <c r="A12" s="22"/>
      <c r="B12" s="23"/>
      <c r="C12" s="19" t="s">
        <v>33</v>
      </c>
      <c r="D12" s="26"/>
      <c r="E12" s="28"/>
      <c r="F12" s="22"/>
      <c r="G12" s="22"/>
      <c r="H12" s="22"/>
      <c r="I12" s="23"/>
      <c r="J12" s="22"/>
      <c r="K12" s="23"/>
      <c r="L12" s="23"/>
      <c r="M12" s="23"/>
      <c r="N12" s="23"/>
      <c r="O12" s="18" t="s">
        <v>32</v>
      </c>
      <c r="P12" s="18" t="s">
        <v>39</v>
      </c>
    </row>
    <row r="13" spans="1:16" ht="30" customHeight="1" x14ac:dyDescent="0.25">
      <c r="A13" s="1">
        <v>1</v>
      </c>
      <c r="B13" s="16" t="s">
        <v>16</v>
      </c>
      <c r="C13" s="8" t="s">
        <v>40</v>
      </c>
      <c r="D13" s="1" t="s">
        <v>17</v>
      </c>
      <c r="E13" s="2" t="s">
        <v>34</v>
      </c>
      <c r="F13" s="3">
        <v>0</v>
      </c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ht="30" customHeight="1" x14ac:dyDescent="0.25">
      <c r="A14" s="1">
        <v>2</v>
      </c>
      <c r="B14" s="16" t="s">
        <v>16</v>
      </c>
      <c r="C14" s="9" t="s">
        <v>41</v>
      </c>
      <c r="D14" s="1" t="s">
        <v>18</v>
      </c>
      <c r="E14" s="2" t="s">
        <v>34</v>
      </c>
      <c r="F14" s="3">
        <v>0</v>
      </c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ht="30" customHeight="1" x14ac:dyDescent="0.25">
      <c r="A15" s="1">
        <v>3</v>
      </c>
      <c r="B15" s="16" t="s">
        <v>16</v>
      </c>
      <c r="C15" s="9" t="s">
        <v>48</v>
      </c>
      <c r="D15" s="1" t="s">
        <v>19</v>
      </c>
      <c r="E15" s="2" t="s">
        <v>34</v>
      </c>
      <c r="F15" s="3">
        <v>0</v>
      </c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30" customHeight="1" x14ac:dyDescent="0.25">
      <c r="A16" s="1">
        <v>4</v>
      </c>
      <c r="B16" s="16" t="s">
        <v>16</v>
      </c>
      <c r="C16" s="9" t="s">
        <v>49</v>
      </c>
      <c r="D16" s="1" t="s">
        <v>20</v>
      </c>
      <c r="E16" s="2" t="s">
        <v>34</v>
      </c>
      <c r="F16" s="15">
        <v>0</v>
      </c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1:16" ht="30" customHeight="1" x14ac:dyDescent="0.25">
      <c r="A17" s="1">
        <f t="shared" ref="A17:A25" si="0">A16+1</f>
        <v>5</v>
      </c>
      <c r="B17" s="2" t="s">
        <v>7</v>
      </c>
      <c r="C17" s="8" t="s">
        <v>43</v>
      </c>
      <c r="D17" s="1" t="s">
        <v>0</v>
      </c>
      <c r="E17" s="2" t="s">
        <v>34</v>
      </c>
      <c r="F17" s="15">
        <v>7500</v>
      </c>
      <c r="G17" s="15">
        <v>0</v>
      </c>
      <c r="H17" s="15">
        <v>4500</v>
      </c>
      <c r="I17" s="15"/>
      <c r="J17" s="15">
        <v>375</v>
      </c>
      <c r="K17" s="15"/>
      <c r="L17" s="15">
        <f>SUM(F17:K17)</f>
        <v>12375</v>
      </c>
      <c r="M17" s="15">
        <f>362.25+289.8+75</f>
        <v>727.05</v>
      </c>
      <c r="N17" s="15">
        <f t="shared" ref="N17:N27" si="1">+L17-M17</f>
        <v>11647.95</v>
      </c>
      <c r="O17" s="15"/>
      <c r="P17" s="15"/>
    </row>
    <row r="18" spans="1:16" ht="30" customHeight="1" x14ac:dyDescent="0.25">
      <c r="A18" s="1">
        <f t="shared" si="0"/>
        <v>6</v>
      </c>
      <c r="B18" s="2" t="s">
        <v>7</v>
      </c>
      <c r="C18" s="8" t="s">
        <v>6</v>
      </c>
      <c r="D18" s="1" t="s">
        <v>42</v>
      </c>
      <c r="E18" s="2" t="s">
        <v>34</v>
      </c>
      <c r="F18" s="15">
        <v>10966</v>
      </c>
      <c r="G18" s="15"/>
      <c r="H18" s="15">
        <v>1550</v>
      </c>
      <c r="I18" s="15">
        <v>0</v>
      </c>
      <c r="J18" s="15">
        <v>375</v>
      </c>
      <c r="K18" s="15"/>
      <c r="L18" s="15">
        <f t="shared" ref="L18:L27" si="2">SUM(F18:K18)</f>
        <v>12891</v>
      </c>
      <c r="M18" s="15">
        <f>529.66+499.19+100</f>
        <v>1128.8499999999999</v>
      </c>
      <c r="N18" s="15">
        <f t="shared" si="1"/>
        <v>11762.15</v>
      </c>
      <c r="O18" s="15"/>
      <c r="P18" s="15"/>
    </row>
    <row r="19" spans="1:16" ht="30" customHeight="1" x14ac:dyDescent="0.25">
      <c r="A19" s="1">
        <f t="shared" si="0"/>
        <v>7</v>
      </c>
      <c r="B19" s="2" t="s">
        <v>7</v>
      </c>
      <c r="C19" s="8" t="s">
        <v>44</v>
      </c>
      <c r="D19" s="8" t="s">
        <v>45</v>
      </c>
      <c r="E19" s="2" t="s">
        <v>34</v>
      </c>
      <c r="F19" s="15">
        <v>7500</v>
      </c>
      <c r="G19" s="15"/>
      <c r="H19" s="15">
        <v>1500</v>
      </c>
      <c r="I19" s="15">
        <v>0</v>
      </c>
      <c r="J19" s="15">
        <v>375</v>
      </c>
      <c r="K19" s="15"/>
      <c r="L19" s="15">
        <f t="shared" si="2"/>
        <v>9375</v>
      </c>
      <c r="M19" s="15">
        <f>362.25+126+265.29+75</f>
        <v>828.54</v>
      </c>
      <c r="N19" s="15">
        <f t="shared" si="1"/>
        <v>8546.4599999999991</v>
      </c>
      <c r="O19" s="15"/>
      <c r="P19" s="15"/>
    </row>
    <row r="20" spans="1:16" ht="30" customHeight="1" x14ac:dyDescent="0.25">
      <c r="A20" s="1">
        <f t="shared" si="0"/>
        <v>8</v>
      </c>
      <c r="B20" s="2" t="s">
        <v>7</v>
      </c>
      <c r="C20" s="8" t="s">
        <v>9</v>
      </c>
      <c r="D20" s="1" t="s">
        <v>2</v>
      </c>
      <c r="E20" s="2" t="s">
        <v>34</v>
      </c>
      <c r="F20" s="15">
        <v>4243</v>
      </c>
      <c r="G20" s="15"/>
      <c r="H20" s="15">
        <v>1550</v>
      </c>
      <c r="I20" s="15">
        <v>500</v>
      </c>
      <c r="J20" s="15">
        <v>0</v>
      </c>
      <c r="K20" s="15"/>
      <c r="L20" s="15">
        <f t="shared" si="2"/>
        <v>6293</v>
      </c>
      <c r="M20" s="15">
        <f>204.94+84.58+116.49+50</f>
        <v>456.01</v>
      </c>
      <c r="N20" s="15">
        <f t="shared" si="1"/>
        <v>5836.99</v>
      </c>
      <c r="O20" s="15"/>
      <c r="P20" s="15"/>
    </row>
    <row r="21" spans="1:16" ht="30" customHeight="1" x14ac:dyDescent="0.25">
      <c r="A21" s="1">
        <f t="shared" si="0"/>
        <v>9</v>
      </c>
      <c r="B21" s="2" t="s">
        <v>7</v>
      </c>
      <c r="C21" s="8" t="s">
        <v>46</v>
      </c>
      <c r="D21" s="1" t="s">
        <v>3</v>
      </c>
      <c r="E21" s="2" t="s">
        <v>34</v>
      </c>
      <c r="F21" s="15">
        <v>3020</v>
      </c>
      <c r="G21" s="15"/>
      <c r="H21" s="15">
        <v>1550</v>
      </c>
      <c r="I21" s="15">
        <v>0</v>
      </c>
      <c r="J21" s="15">
        <v>0</v>
      </c>
      <c r="K21" s="15"/>
      <c r="L21" s="15">
        <f t="shared" si="2"/>
        <v>4570</v>
      </c>
      <c r="M21" s="15">
        <f>145.87+61.42+72.03+50</f>
        <v>329.32000000000005</v>
      </c>
      <c r="N21" s="15">
        <f>+L21-M21</f>
        <v>4240.68</v>
      </c>
      <c r="O21" s="15"/>
      <c r="P21" s="15"/>
    </row>
    <row r="22" spans="1:16" ht="30" customHeight="1" x14ac:dyDescent="0.25">
      <c r="A22" s="1">
        <f t="shared" si="0"/>
        <v>10</v>
      </c>
      <c r="B22" s="2" t="s">
        <v>7</v>
      </c>
      <c r="C22" s="8" t="s">
        <v>47</v>
      </c>
      <c r="D22" s="1" t="s">
        <v>1</v>
      </c>
      <c r="E22" s="2" t="s">
        <v>34</v>
      </c>
      <c r="F22" s="15">
        <v>3531</v>
      </c>
      <c r="G22" s="15"/>
      <c r="H22" s="15">
        <v>1550</v>
      </c>
      <c r="I22" s="15">
        <v>0</v>
      </c>
      <c r="J22" s="15">
        <v>0</v>
      </c>
      <c r="K22" s="15"/>
      <c r="L22" s="15">
        <f t="shared" si="2"/>
        <v>5081</v>
      </c>
      <c r="M22" s="15">
        <f>175.88+58.68+50</f>
        <v>284.56</v>
      </c>
      <c r="N22" s="15">
        <f t="shared" si="1"/>
        <v>4796.4399999999996</v>
      </c>
      <c r="O22" s="15"/>
      <c r="P22" s="15"/>
    </row>
    <row r="23" spans="1:16" ht="30" customHeight="1" x14ac:dyDescent="0.25">
      <c r="A23" s="1">
        <f t="shared" si="0"/>
        <v>11</v>
      </c>
      <c r="B23" s="2" t="s">
        <v>7</v>
      </c>
      <c r="C23" s="8" t="s">
        <v>10</v>
      </c>
      <c r="D23" s="1" t="s">
        <v>56</v>
      </c>
      <c r="E23" s="2" t="s">
        <v>34</v>
      </c>
      <c r="F23" s="15">
        <v>5697</v>
      </c>
      <c r="G23" s="15"/>
      <c r="H23" s="15">
        <v>1800</v>
      </c>
      <c r="I23" s="15">
        <v>500</v>
      </c>
      <c r="J23" s="15"/>
      <c r="K23" s="15"/>
      <c r="L23" s="15">
        <f>SUM(F23:K23)</f>
        <v>7997</v>
      </c>
      <c r="M23" s="15">
        <f>275.17+361.89+75</f>
        <v>712.06</v>
      </c>
      <c r="N23" s="15">
        <f t="shared" si="1"/>
        <v>7284.9400000000005</v>
      </c>
      <c r="O23" s="15"/>
      <c r="P23" s="15"/>
    </row>
    <row r="24" spans="1:16" ht="30" customHeight="1" x14ac:dyDescent="0.25">
      <c r="A24" s="1">
        <f t="shared" si="0"/>
        <v>12</v>
      </c>
      <c r="B24" s="2" t="s">
        <v>7</v>
      </c>
      <c r="C24" s="8" t="s">
        <v>11</v>
      </c>
      <c r="D24" s="1" t="s">
        <v>4</v>
      </c>
      <c r="E24" s="2" t="s">
        <v>34</v>
      </c>
      <c r="F24" s="15">
        <v>7392</v>
      </c>
      <c r="G24" s="15"/>
      <c r="H24" s="15">
        <v>2300</v>
      </c>
      <c r="I24" s="15">
        <v>500</v>
      </c>
      <c r="J24" s="15"/>
      <c r="K24" s="15"/>
      <c r="L24" s="15">
        <f t="shared" si="2"/>
        <v>10192</v>
      </c>
      <c r="M24" s="15">
        <f>357.03+355.01+75</f>
        <v>787.04</v>
      </c>
      <c r="N24" s="15">
        <f t="shared" si="1"/>
        <v>9404.9599999999991</v>
      </c>
      <c r="O24" s="15"/>
      <c r="P24" s="15"/>
    </row>
    <row r="25" spans="1:16" ht="30" customHeight="1" x14ac:dyDescent="0.25">
      <c r="A25" s="1">
        <f t="shared" si="0"/>
        <v>13</v>
      </c>
      <c r="B25" s="2" t="s">
        <v>7</v>
      </c>
      <c r="C25" s="8" t="s">
        <v>54</v>
      </c>
      <c r="D25" s="1" t="s">
        <v>55</v>
      </c>
      <c r="E25" s="2" t="s">
        <v>34</v>
      </c>
      <c r="F25" s="15">
        <v>6750</v>
      </c>
      <c r="G25" s="15"/>
      <c r="H25" s="15">
        <v>250</v>
      </c>
      <c r="I25" s="15">
        <v>0</v>
      </c>
      <c r="J25" s="15"/>
      <c r="K25" s="15"/>
      <c r="L25" s="15">
        <f t="shared" si="2"/>
        <v>7000</v>
      </c>
      <c r="M25" s="15">
        <f>326.03+75</f>
        <v>401.03</v>
      </c>
      <c r="N25" s="15">
        <f t="shared" si="1"/>
        <v>6598.97</v>
      </c>
      <c r="O25" s="15"/>
      <c r="P25" s="15"/>
    </row>
    <row r="26" spans="1:16" ht="30" customHeight="1" x14ac:dyDescent="0.25">
      <c r="A26" s="1">
        <v>15</v>
      </c>
      <c r="B26" s="2" t="s">
        <v>7</v>
      </c>
      <c r="C26" s="8" t="s">
        <v>12</v>
      </c>
      <c r="D26" s="1" t="s">
        <v>5</v>
      </c>
      <c r="E26" s="2" t="s">
        <v>34</v>
      </c>
      <c r="F26" s="15">
        <v>3166.38</v>
      </c>
      <c r="G26" s="15"/>
      <c r="H26" s="15">
        <v>1550</v>
      </c>
      <c r="I26" s="15">
        <v>0</v>
      </c>
      <c r="J26" s="15"/>
      <c r="K26" s="15"/>
      <c r="L26" s="15">
        <f t="shared" si="2"/>
        <v>4716.38</v>
      </c>
      <c r="M26" s="15">
        <f>152.94+56.28+50</f>
        <v>259.22000000000003</v>
      </c>
      <c r="N26" s="15">
        <f t="shared" si="1"/>
        <v>4457.16</v>
      </c>
      <c r="O26" s="15"/>
      <c r="P26" s="15"/>
    </row>
    <row r="27" spans="1:16" ht="30" customHeight="1" x14ac:dyDescent="0.25">
      <c r="A27" s="1">
        <v>16</v>
      </c>
      <c r="B27" s="2">
        <v>11</v>
      </c>
      <c r="C27" s="8" t="s">
        <v>50</v>
      </c>
      <c r="D27" s="1" t="s">
        <v>51</v>
      </c>
      <c r="E27" s="2" t="s">
        <v>34</v>
      </c>
      <c r="F27" s="15">
        <v>3166.38</v>
      </c>
      <c r="G27" s="15"/>
      <c r="H27" s="15">
        <v>1449</v>
      </c>
      <c r="I27" s="15"/>
      <c r="J27" s="15"/>
      <c r="K27" s="15"/>
      <c r="L27" s="15">
        <f t="shared" si="2"/>
        <v>4615.38</v>
      </c>
      <c r="M27" s="15">
        <f>152.94+34.98+50</f>
        <v>237.92</v>
      </c>
      <c r="N27" s="15">
        <f t="shared" si="1"/>
        <v>4377.46</v>
      </c>
      <c r="O27" s="15"/>
      <c r="P27" s="15"/>
    </row>
    <row r="28" spans="1:16" ht="30" customHeight="1" x14ac:dyDescent="0.25">
      <c r="A28" s="1">
        <v>17</v>
      </c>
      <c r="B28" s="2">
        <v>184</v>
      </c>
      <c r="C28" s="8" t="s">
        <v>61</v>
      </c>
      <c r="D28" s="8" t="s">
        <v>13</v>
      </c>
      <c r="E28" s="2" t="s">
        <v>34</v>
      </c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1:16" ht="30" customHeight="1" x14ac:dyDescent="0.25">
      <c r="A29" s="1">
        <v>18</v>
      </c>
      <c r="B29" s="2">
        <v>183</v>
      </c>
      <c r="C29" s="8" t="s">
        <v>52</v>
      </c>
      <c r="D29" s="1" t="s">
        <v>53</v>
      </c>
      <c r="E29" s="2" t="s">
        <v>34</v>
      </c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1" spans="1:16" ht="15" customHeight="1" x14ac:dyDescent="0.25"/>
    <row r="33" spans="1:16" s="6" customFormat="1" ht="0.95" customHeight="1" x14ac:dyDescent="0.25">
      <c r="A33"/>
      <c r="B3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20"/>
    </row>
    <row r="34" spans="1:16" x14ac:dyDescent="0.25">
      <c r="C34" s="7" t="s">
        <v>14</v>
      </c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6" x14ac:dyDescent="0.25">
      <c r="B35" s="5"/>
      <c r="C35" s="7" t="s">
        <v>58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</row>
  </sheetData>
  <mergeCells count="14">
    <mergeCell ref="G11:G12"/>
    <mergeCell ref="A11:A12"/>
    <mergeCell ref="B11:B12"/>
    <mergeCell ref="D11:D12"/>
    <mergeCell ref="E11:E12"/>
    <mergeCell ref="F11:F12"/>
    <mergeCell ref="N11:N12"/>
    <mergeCell ref="O11:P11"/>
    <mergeCell ref="H11:H12"/>
    <mergeCell ref="I11:I12"/>
    <mergeCell ref="J11:J12"/>
    <mergeCell ref="K11:K12"/>
    <mergeCell ref="L11:L12"/>
    <mergeCell ref="M11:M12"/>
  </mergeCells>
  <printOptions horizontalCentered="1"/>
  <pageMargins left="0.19685039370078741" right="0.19685039370078741" top="0.39370078740157483" bottom="0.19685039370078741" header="0.19685039370078741" footer="0.19685039370078741"/>
  <pageSetup scale="5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D9091-1B26-40DB-B9C9-75BA6C68B614}">
  <dimension ref="A1:P35"/>
  <sheetViews>
    <sheetView showGridLines="0" topLeftCell="A5" zoomScale="85" zoomScaleNormal="85" workbookViewId="0">
      <selection activeCell="A16" sqref="A16"/>
    </sheetView>
  </sheetViews>
  <sheetFormatPr baseColWidth="10" defaultRowHeight="15" x14ac:dyDescent="0.25"/>
  <cols>
    <col min="1" max="1" width="3.28515625" customWidth="1"/>
    <col min="2" max="2" width="8.7109375" customWidth="1"/>
    <col min="3" max="3" width="25.7109375" customWidth="1"/>
    <col min="4" max="4" width="26.7109375" customWidth="1"/>
    <col min="5" max="5" width="8.7109375" customWidth="1"/>
    <col min="6" max="6" width="12.7109375" customWidth="1"/>
    <col min="7" max="10" width="11.7109375" customWidth="1"/>
    <col min="11" max="11" width="12.28515625" customWidth="1"/>
    <col min="12" max="12" width="12.7109375" customWidth="1"/>
    <col min="13" max="13" width="12.28515625" customWidth="1"/>
    <col min="14" max="16" width="12.7109375" customWidth="1"/>
  </cols>
  <sheetData>
    <row r="1" spans="1:16" ht="18.75" x14ac:dyDescent="0.3">
      <c r="A1" s="10"/>
      <c r="B1" s="10"/>
      <c r="C1" s="10"/>
      <c r="D1" s="10"/>
      <c r="E1" s="10"/>
      <c r="F1" s="10"/>
      <c r="G1" s="11"/>
      <c r="H1" s="10"/>
      <c r="I1" s="10"/>
      <c r="J1" s="10"/>
      <c r="K1" s="10"/>
      <c r="L1" s="10"/>
      <c r="M1" s="10"/>
      <c r="N1" s="10"/>
      <c r="O1" s="10"/>
      <c r="P1" s="10"/>
    </row>
    <row r="2" spans="1:16" ht="18.75" x14ac:dyDescent="0.3">
      <c r="A2" s="10"/>
      <c r="B2" s="10"/>
      <c r="C2" s="10"/>
      <c r="D2" s="10"/>
      <c r="E2" s="10"/>
      <c r="F2" s="10"/>
      <c r="G2" s="11"/>
      <c r="H2" s="10"/>
      <c r="I2" s="10"/>
      <c r="J2" s="10"/>
      <c r="K2" s="10"/>
      <c r="L2" s="10"/>
      <c r="M2" s="10"/>
      <c r="N2" s="10"/>
      <c r="O2" s="10"/>
      <c r="P2" s="10"/>
    </row>
    <row r="3" spans="1:16" ht="18.75" x14ac:dyDescent="0.3">
      <c r="A3" s="10"/>
      <c r="B3" s="10"/>
      <c r="C3" s="10"/>
      <c r="D3" s="10"/>
      <c r="E3" s="10"/>
      <c r="F3" s="10"/>
      <c r="G3" s="11"/>
      <c r="H3" s="10"/>
      <c r="I3" s="10"/>
      <c r="J3" s="10"/>
      <c r="K3" s="10"/>
      <c r="L3" s="10"/>
      <c r="M3" s="10"/>
      <c r="N3" s="10"/>
      <c r="O3" s="10"/>
      <c r="P3" s="10"/>
    </row>
    <row r="4" spans="1:16" ht="18.75" x14ac:dyDescent="0.3">
      <c r="A4" s="10"/>
      <c r="B4" s="10"/>
      <c r="C4" s="10"/>
      <c r="D4" s="10"/>
      <c r="E4" s="10"/>
      <c r="F4" s="10"/>
      <c r="G4" s="11"/>
      <c r="H4" s="10"/>
      <c r="I4" s="10"/>
      <c r="J4" s="10"/>
      <c r="K4" s="10"/>
      <c r="L4" s="10"/>
      <c r="M4" s="10"/>
      <c r="N4" s="10"/>
      <c r="O4" s="10"/>
      <c r="P4" s="10"/>
    </row>
    <row r="5" spans="1:16" ht="18.75" x14ac:dyDescent="0.3">
      <c r="A5" s="10"/>
      <c r="B5" s="10"/>
      <c r="C5" s="10"/>
      <c r="D5" s="10"/>
      <c r="E5" s="10"/>
      <c r="F5" s="10"/>
      <c r="G5" s="11"/>
      <c r="H5" s="10"/>
      <c r="I5" s="10"/>
      <c r="J5" s="10"/>
      <c r="K5" s="10"/>
      <c r="L5" s="10"/>
      <c r="M5" s="10"/>
      <c r="N5" s="10"/>
      <c r="O5" s="10"/>
      <c r="P5" s="10"/>
    </row>
    <row r="6" spans="1:16" ht="18.75" x14ac:dyDescent="0.3">
      <c r="A6" s="10"/>
      <c r="B6" s="10"/>
      <c r="C6" s="10"/>
      <c r="D6" s="10"/>
      <c r="E6" s="10"/>
      <c r="F6" s="10"/>
      <c r="G6" s="21"/>
      <c r="H6" s="10"/>
      <c r="I6" s="10"/>
      <c r="J6" s="10"/>
      <c r="K6" s="10"/>
      <c r="L6" s="10"/>
      <c r="M6" s="10"/>
      <c r="N6" s="10"/>
      <c r="O6" s="10"/>
      <c r="P6" s="10"/>
    </row>
    <row r="7" spans="1:16" ht="18.75" x14ac:dyDescent="0.3">
      <c r="A7" s="10" t="s">
        <v>8</v>
      </c>
      <c r="B7" s="10"/>
      <c r="C7" s="10"/>
      <c r="D7" s="10"/>
      <c r="E7" s="10"/>
      <c r="F7" s="10"/>
      <c r="G7" s="11"/>
      <c r="H7" s="10"/>
      <c r="I7" s="10"/>
      <c r="J7" s="10"/>
      <c r="K7" s="10"/>
      <c r="L7" s="10"/>
      <c r="M7" s="10"/>
      <c r="N7" s="10"/>
      <c r="O7" s="10"/>
      <c r="P7" s="10"/>
    </row>
    <row r="8" spans="1:16" ht="18.75" x14ac:dyDescent="0.3">
      <c r="A8" s="10" t="s">
        <v>72</v>
      </c>
      <c r="B8" s="10"/>
      <c r="C8" s="10"/>
      <c r="D8" s="10"/>
      <c r="E8" s="10"/>
      <c r="F8" s="10"/>
      <c r="G8" s="11"/>
      <c r="H8" s="10"/>
      <c r="I8" s="10"/>
      <c r="J8" s="10"/>
      <c r="K8" s="10"/>
      <c r="L8" s="10"/>
      <c r="M8" s="10"/>
      <c r="N8" s="10"/>
      <c r="O8" s="10"/>
      <c r="P8" s="10"/>
    </row>
    <row r="9" spans="1:16" ht="15.75" x14ac:dyDescent="0.25">
      <c r="A9" s="17" t="s">
        <v>15</v>
      </c>
      <c r="B9" s="4"/>
      <c r="C9" s="4"/>
      <c r="D9" s="4"/>
      <c r="E9" s="4"/>
      <c r="F9" s="4"/>
      <c r="G9" s="12"/>
      <c r="H9" s="4"/>
      <c r="I9" s="4"/>
      <c r="J9" s="4"/>
      <c r="K9" s="4"/>
      <c r="L9" s="4"/>
      <c r="M9" s="4"/>
      <c r="N9" s="4"/>
      <c r="O9" s="4"/>
      <c r="P9" s="4"/>
    </row>
    <row r="10" spans="1:16" ht="15" customHeight="1" x14ac:dyDescent="0.25">
      <c r="A10" s="14"/>
      <c r="B10" s="4"/>
      <c r="C10" s="4"/>
      <c r="D10" s="12"/>
      <c r="E10" s="4"/>
      <c r="F10" s="4"/>
      <c r="G10" s="4"/>
      <c r="H10" s="4"/>
      <c r="I10" s="4"/>
      <c r="J10" s="4"/>
      <c r="K10" s="4"/>
      <c r="L10" s="4"/>
      <c r="M10" s="4"/>
    </row>
    <row r="11" spans="1:16" ht="30" customHeight="1" x14ac:dyDescent="0.25">
      <c r="A11" s="22" t="s">
        <v>21</v>
      </c>
      <c r="B11" s="23" t="s">
        <v>22</v>
      </c>
      <c r="C11" s="19" t="s">
        <v>23</v>
      </c>
      <c r="D11" s="26" t="s">
        <v>24</v>
      </c>
      <c r="E11" s="27" t="s">
        <v>25</v>
      </c>
      <c r="F11" s="22" t="s">
        <v>35</v>
      </c>
      <c r="G11" s="22" t="s">
        <v>36</v>
      </c>
      <c r="H11" s="22" t="s">
        <v>38</v>
      </c>
      <c r="I11" s="22" t="s">
        <v>37</v>
      </c>
      <c r="J11" s="22" t="s">
        <v>26</v>
      </c>
      <c r="K11" s="22" t="s">
        <v>27</v>
      </c>
      <c r="L11" s="22" t="s">
        <v>28</v>
      </c>
      <c r="M11" s="22" t="s">
        <v>29</v>
      </c>
      <c r="N11" s="22" t="s">
        <v>30</v>
      </c>
      <c r="O11" s="24" t="s">
        <v>31</v>
      </c>
      <c r="P11" s="25"/>
    </row>
    <row r="12" spans="1:16" ht="48" customHeight="1" x14ac:dyDescent="0.25">
      <c r="A12" s="22"/>
      <c r="B12" s="23"/>
      <c r="C12" s="19" t="s">
        <v>33</v>
      </c>
      <c r="D12" s="26"/>
      <c r="E12" s="28"/>
      <c r="F12" s="22"/>
      <c r="G12" s="22"/>
      <c r="H12" s="22"/>
      <c r="I12" s="23"/>
      <c r="J12" s="22"/>
      <c r="K12" s="23"/>
      <c r="L12" s="23"/>
      <c r="M12" s="23"/>
      <c r="N12" s="23"/>
      <c r="O12" s="18" t="s">
        <v>32</v>
      </c>
      <c r="P12" s="18" t="s">
        <v>39</v>
      </c>
    </row>
    <row r="13" spans="1:16" ht="30" customHeight="1" x14ac:dyDescent="0.25">
      <c r="A13" s="1">
        <v>1</v>
      </c>
      <c r="B13" s="16" t="s">
        <v>16</v>
      </c>
      <c r="C13" s="8" t="s">
        <v>40</v>
      </c>
      <c r="D13" s="1" t="s">
        <v>17</v>
      </c>
      <c r="E13" s="2" t="s">
        <v>34</v>
      </c>
      <c r="F13" s="3">
        <v>0</v>
      </c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ht="30" customHeight="1" x14ac:dyDescent="0.25">
      <c r="A14" s="1">
        <f>A13+1</f>
        <v>2</v>
      </c>
      <c r="B14" s="16" t="s">
        <v>16</v>
      </c>
      <c r="C14" s="9" t="s">
        <v>41</v>
      </c>
      <c r="D14" s="1" t="s">
        <v>18</v>
      </c>
      <c r="E14" s="2" t="s">
        <v>34</v>
      </c>
      <c r="F14" s="3">
        <v>0</v>
      </c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ht="30" customHeight="1" x14ac:dyDescent="0.25">
      <c r="A15" s="1">
        <v>3</v>
      </c>
      <c r="B15" s="16" t="s">
        <v>16</v>
      </c>
      <c r="C15" s="9" t="s">
        <v>48</v>
      </c>
      <c r="D15" s="1" t="s">
        <v>19</v>
      </c>
      <c r="E15" s="2" t="s">
        <v>34</v>
      </c>
      <c r="F15" s="3">
        <v>0</v>
      </c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30" customHeight="1" x14ac:dyDescent="0.25">
      <c r="A16" s="1">
        <f t="shared" ref="A16:A25" si="0">A15+1</f>
        <v>4</v>
      </c>
      <c r="B16" s="16" t="s">
        <v>16</v>
      </c>
      <c r="C16" s="9" t="s">
        <v>49</v>
      </c>
      <c r="D16" s="1" t="s">
        <v>20</v>
      </c>
      <c r="E16" s="2" t="s">
        <v>34</v>
      </c>
      <c r="F16" s="15">
        <v>0</v>
      </c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1:16" ht="30" customHeight="1" x14ac:dyDescent="0.25">
      <c r="A17" s="1">
        <f t="shared" si="0"/>
        <v>5</v>
      </c>
      <c r="B17" s="2" t="s">
        <v>7</v>
      </c>
      <c r="C17" s="8" t="s">
        <v>43</v>
      </c>
      <c r="D17" s="1" t="s">
        <v>0</v>
      </c>
      <c r="E17" s="2" t="s">
        <v>34</v>
      </c>
      <c r="F17" s="15">
        <v>7500</v>
      </c>
      <c r="G17" s="15">
        <v>0</v>
      </c>
      <c r="H17" s="15">
        <v>4500</v>
      </c>
      <c r="I17" s="15"/>
      <c r="J17" s="15">
        <v>375</v>
      </c>
      <c r="K17" s="15"/>
      <c r="L17" s="15">
        <f>SUM(F17:K17)</f>
        <v>12375</v>
      </c>
      <c r="M17" s="15">
        <f>362.25+289.81</f>
        <v>652.05999999999995</v>
      </c>
      <c r="N17" s="15">
        <f t="shared" ref="N17:N27" si="1">+L17-M17</f>
        <v>11722.94</v>
      </c>
      <c r="O17" s="15"/>
      <c r="P17" s="15"/>
    </row>
    <row r="18" spans="1:16" ht="30" customHeight="1" x14ac:dyDescent="0.25">
      <c r="A18" s="1">
        <f t="shared" si="0"/>
        <v>6</v>
      </c>
      <c r="B18" s="2" t="s">
        <v>7</v>
      </c>
      <c r="C18" s="8" t="s">
        <v>6</v>
      </c>
      <c r="D18" s="1" t="s">
        <v>42</v>
      </c>
      <c r="E18" s="2" t="s">
        <v>34</v>
      </c>
      <c r="F18" s="15">
        <v>10966</v>
      </c>
      <c r="G18" s="15">
        <v>548.28</v>
      </c>
      <c r="H18" s="15">
        <v>1550</v>
      </c>
      <c r="I18" s="15">
        <v>0</v>
      </c>
      <c r="J18" s="15">
        <v>375</v>
      </c>
      <c r="K18" s="15"/>
      <c r="L18" s="15">
        <f t="shared" ref="L18:L27" si="2">SUM(F18:K18)</f>
        <v>13439.28</v>
      </c>
      <c r="M18" s="15">
        <f>556.14+423.98</f>
        <v>980.12</v>
      </c>
      <c r="N18" s="15">
        <f t="shared" si="1"/>
        <v>12459.16</v>
      </c>
      <c r="O18" s="15"/>
      <c r="P18" s="15"/>
    </row>
    <row r="19" spans="1:16" ht="30" customHeight="1" x14ac:dyDescent="0.25">
      <c r="A19" s="1">
        <f t="shared" si="0"/>
        <v>7</v>
      </c>
      <c r="B19" s="2" t="s">
        <v>7</v>
      </c>
      <c r="C19" s="8" t="s">
        <v>44</v>
      </c>
      <c r="D19" s="8" t="s">
        <v>45</v>
      </c>
      <c r="E19" s="2" t="s">
        <v>34</v>
      </c>
      <c r="F19" s="15">
        <v>7500</v>
      </c>
      <c r="G19" s="15"/>
      <c r="H19" s="15">
        <v>1500</v>
      </c>
      <c r="I19" s="15">
        <v>0</v>
      </c>
      <c r="J19" s="15">
        <v>375</v>
      </c>
      <c r="K19" s="15"/>
      <c r="L19" s="15">
        <f t="shared" si="2"/>
        <v>9375</v>
      </c>
      <c r="M19" s="15">
        <f>362.25+126+260.92</f>
        <v>749.17000000000007</v>
      </c>
      <c r="N19" s="15">
        <f t="shared" si="1"/>
        <v>8625.83</v>
      </c>
      <c r="O19" s="15"/>
      <c r="P19" s="15"/>
    </row>
    <row r="20" spans="1:16" ht="30" customHeight="1" x14ac:dyDescent="0.25">
      <c r="A20" s="1">
        <f t="shared" si="0"/>
        <v>8</v>
      </c>
      <c r="B20" s="2" t="s">
        <v>7</v>
      </c>
      <c r="C20" s="8" t="s">
        <v>9</v>
      </c>
      <c r="D20" s="1" t="s">
        <v>2</v>
      </c>
      <c r="E20" s="2" t="s">
        <v>34</v>
      </c>
      <c r="F20" s="15">
        <v>4243</v>
      </c>
      <c r="G20" s="15"/>
      <c r="H20" s="15">
        <v>1550</v>
      </c>
      <c r="I20" s="15">
        <v>500</v>
      </c>
      <c r="J20" s="15">
        <v>0</v>
      </c>
      <c r="K20" s="15"/>
      <c r="L20" s="15">
        <f t="shared" si="2"/>
        <v>6293</v>
      </c>
      <c r="M20" s="15">
        <f>204.94+84.58+116.49</f>
        <v>406.01</v>
      </c>
      <c r="N20" s="15">
        <f t="shared" si="1"/>
        <v>5886.99</v>
      </c>
      <c r="O20" s="15"/>
      <c r="P20" s="15"/>
    </row>
    <row r="21" spans="1:16" ht="30" customHeight="1" x14ac:dyDescent="0.25">
      <c r="A21" s="1">
        <f t="shared" si="0"/>
        <v>9</v>
      </c>
      <c r="B21" s="2" t="s">
        <v>7</v>
      </c>
      <c r="C21" s="8" t="s">
        <v>46</v>
      </c>
      <c r="D21" s="1" t="s">
        <v>3</v>
      </c>
      <c r="E21" s="2" t="s">
        <v>34</v>
      </c>
      <c r="F21" s="15">
        <v>3166.38</v>
      </c>
      <c r="G21" s="15">
        <v>178.13</v>
      </c>
      <c r="H21" s="15">
        <v>1550</v>
      </c>
      <c r="I21" s="15">
        <v>0</v>
      </c>
      <c r="J21" s="15">
        <v>0</v>
      </c>
      <c r="K21" s="15"/>
      <c r="L21" s="15">
        <f t="shared" si="2"/>
        <v>4894.51</v>
      </c>
      <c r="M21" s="15">
        <f>161.54+61.42+28.81</f>
        <v>251.76999999999998</v>
      </c>
      <c r="N21" s="15">
        <f>+L21-M21</f>
        <v>4642.74</v>
      </c>
      <c r="O21" s="15"/>
      <c r="P21" s="15"/>
    </row>
    <row r="22" spans="1:16" ht="30" customHeight="1" x14ac:dyDescent="0.25">
      <c r="A22" s="1">
        <f t="shared" si="0"/>
        <v>10</v>
      </c>
      <c r="B22" s="2" t="s">
        <v>7</v>
      </c>
      <c r="C22" s="8" t="s">
        <v>47</v>
      </c>
      <c r="D22" s="1" t="s">
        <v>1</v>
      </c>
      <c r="E22" s="2" t="s">
        <v>34</v>
      </c>
      <c r="F22" s="15">
        <v>3531</v>
      </c>
      <c r="G22" s="15"/>
      <c r="H22" s="15">
        <v>2841.75</v>
      </c>
      <c r="I22" s="15">
        <v>0</v>
      </c>
      <c r="J22" s="15">
        <v>0</v>
      </c>
      <c r="K22" s="15"/>
      <c r="L22" s="15">
        <f t="shared" si="2"/>
        <v>6372.75</v>
      </c>
      <c r="M22" s="15">
        <f>170.55+52.92</f>
        <v>223.47000000000003</v>
      </c>
      <c r="N22" s="15">
        <f t="shared" si="1"/>
        <v>6149.28</v>
      </c>
      <c r="O22" s="15"/>
      <c r="P22" s="15"/>
    </row>
    <row r="23" spans="1:16" ht="30" customHeight="1" x14ac:dyDescent="0.25">
      <c r="A23" s="1">
        <f t="shared" si="0"/>
        <v>11</v>
      </c>
      <c r="B23" s="2" t="s">
        <v>7</v>
      </c>
      <c r="C23" s="8" t="s">
        <v>10</v>
      </c>
      <c r="D23" s="1" t="s">
        <v>56</v>
      </c>
      <c r="E23" s="2" t="s">
        <v>34</v>
      </c>
      <c r="F23" s="15">
        <v>5697</v>
      </c>
      <c r="G23" s="15">
        <v>284.88</v>
      </c>
      <c r="H23" s="15">
        <v>1800</v>
      </c>
      <c r="I23" s="15">
        <v>500</v>
      </c>
      <c r="J23" s="15"/>
      <c r="K23" s="15"/>
      <c r="L23" s="15">
        <f>SUM(F23:K23)</f>
        <v>8281.880000000001</v>
      </c>
      <c r="M23" s="15">
        <f>288.92+192.27</f>
        <v>481.19000000000005</v>
      </c>
      <c r="N23" s="15">
        <f t="shared" si="1"/>
        <v>7800.6900000000005</v>
      </c>
      <c r="O23" s="15"/>
      <c r="P23" s="15"/>
    </row>
    <row r="24" spans="1:16" ht="30" customHeight="1" x14ac:dyDescent="0.25">
      <c r="A24" s="1">
        <f t="shared" si="0"/>
        <v>12</v>
      </c>
      <c r="B24" s="2" t="s">
        <v>7</v>
      </c>
      <c r="C24" s="8" t="s">
        <v>11</v>
      </c>
      <c r="D24" s="1" t="s">
        <v>4</v>
      </c>
      <c r="E24" s="2" t="s">
        <v>34</v>
      </c>
      <c r="F24" s="15">
        <v>7392</v>
      </c>
      <c r="G24" s="15">
        <v>970.2</v>
      </c>
      <c r="H24" s="15">
        <v>2300</v>
      </c>
      <c r="I24" s="15">
        <v>500</v>
      </c>
      <c r="J24" s="15"/>
      <c r="K24" s="15"/>
      <c r="L24" s="15">
        <f t="shared" si="2"/>
        <v>11162.2</v>
      </c>
      <c r="M24" s="15">
        <f>403.89+312.01</f>
        <v>715.9</v>
      </c>
      <c r="N24" s="15">
        <f t="shared" si="1"/>
        <v>10446.300000000001</v>
      </c>
      <c r="O24" s="15"/>
      <c r="P24" s="15"/>
    </row>
    <row r="25" spans="1:16" ht="30" customHeight="1" x14ac:dyDescent="0.25">
      <c r="A25" s="1">
        <f t="shared" si="0"/>
        <v>13</v>
      </c>
      <c r="B25" s="2" t="s">
        <v>7</v>
      </c>
      <c r="C25" s="8" t="s">
        <v>54</v>
      </c>
      <c r="D25" s="1" t="s">
        <v>55</v>
      </c>
      <c r="E25" s="2" t="s">
        <v>34</v>
      </c>
      <c r="F25" s="15">
        <v>6750</v>
      </c>
      <c r="G25" s="15">
        <v>42.19</v>
      </c>
      <c r="H25" s="15">
        <v>250</v>
      </c>
      <c r="I25" s="15">
        <v>0</v>
      </c>
      <c r="J25" s="15"/>
      <c r="K25" s="15"/>
      <c r="L25" s="15">
        <f t="shared" si="2"/>
        <v>7042.19</v>
      </c>
      <c r="M25" s="15">
        <f>328.05+160.44</f>
        <v>488.49</v>
      </c>
      <c r="N25" s="15">
        <f t="shared" si="1"/>
        <v>6553.7</v>
      </c>
      <c r="O25" s="15"/>
      <c r="P25" s="15"/>
    </row>
    <row r="26" spans="1:16" ht="30" customHeight="1" x14ac:dyDescent="0.25">
      <c r="A26" s="1">
        <v>15</v>
      </c>
      <c r="B26" s="2" t="s">
        <v>7</v>
      </c>
      <c r="C26" s="8" t="s">
        <v>12</v>
      </c>
      <c r="D26" s="1" t="s">
        <v>5</v>
      </c>
      <c r="E26" s="2" t="s">
        <v>34</v>
      </c>
      <c r="F26" s="15">
        <v>3166.38</v>
      </c>
      <c r="G26" s="15">
        <v>178.13</v>
      </c>
      <c r="H26" s="15">
        <v>1550</v>
      </c>
      <c r="I26" s="15">
        <v>0</v>
      </c>
      <c r="J26" s="15"/>
      <c r="K26" s="15"/>
      <c r="L26" s="15">
        <f t="shared" si="2"/>
        <v>4894.51</v>
      </c>
      <c r="M26" s="15">
        <f>161.54+25.22</f>
        <v>186.76</v>
      </c>
      <c r="N26" s="15">
        <f t="shared" si="1"/>
        <v>4707.75</v>
      </c>
      <c r="O26" s="15"/>
      <c r="P26" s="15"/>
    </row>
    <row r="27" spans="1:16" ht="30" customHeight="1" x14ac:dyDescent="0.25">
      <c r="A27" s="1">
        <v>16</v>
      </c>
      <c r="B27" s="2">
        <v>11</v>
      </c>
      <c r="C27" s="8" t="s">
        <v>50</v>
      </c>
      <c r="D27" s="1" t="s">
        <v>51</v>
      </c>
      <c r="E27" s="2" t="s">
        <v>34</v>
      </c>
      <c r="F27" s="15">
        <v>3166.38</v>
      </c>
      <c r="G27" s="15">
        <v>178.13</v>
      </c>
      <c r="H27" s="15">
        <v>1449</v>
      </c>
      <c r="I27" s="15"/>
      <c r="J27" s="15"/>
      <c r="K27" s="15"/>
      <c r="L27" s="15">
        <f t="shared" si="2"/>
        <v>4793.51</v>
      </c>
      <c r="M27" s="15">
        <f>161.54+22.27</f>
        <v>183.81</v>
      </c>
      <c r="N27" s="15">
        <f t="shared" si="1"/>
        <v>4609.7</v>
      </c>
      <c r="O27" s="15"/>
      <c r="P27" s="15"/>
    </row>
    <row r="28" spans="1:16" ht="30" customHeight="1" x14ac:dyDescent="0.25">
      <c r="A28" s="1">
        <v>18</v>
      </c>
      <c r="B28" s="2">
        <v>184</v>
      </c>
      <c r="C28" s="8" t="s">
        <v>61</v>
      </c>
      <c r="D28" s="8" t="s">
        <v>13</v>
      </c>
      <c r="E28" s="2" t="s">
        <v>34</v>
      </c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1:16" ht="30" customHeight="1" x14ac:dyDescent="0.25">
      <c r="A29" s="1">
        <v>19</v>
      </c>
      <c r="B29" s="2">
        <v>183</v>
      </c>
      <c r="C29" s="8" t="s">
        <v>52</v>
      </c>
      <c r="D29" s="1" t="s">
        <v>53</v>
      </c>
      <c r="E29" s="2" t="s">
        <v>34</v>
      </c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1" spans="1:16" ht="15" customHeight="1" x14ac:dyDescent="0.25"/>
    <row r="33" spans="1:16" s="6" customFormat="1" ht="0.95" customHeight="1" x14ac:dyDescent="0.25">
      <c r="A33"/>
      <c r="B3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20"/>
    </row>
    <row r="34" spans="1:16" x14ac:dyDescent="0.25">
      <c r="C34" s="7" t="s">
        <v>14</v>
      </c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6" x14ac:dyDescent="0.25">
      <c r="B35" s="5"/>
      <c r="C35" s="7" t="s">
        <v>58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</row>
  </sheetData>
  <mergeCells count="14">
    <mergeCell ref="G11:G12"/>
    <mergeCell ref="A11:A12"/>
    <mergeCell ref="B11:B12"/>
    <mergeCell ref="D11:D12"/>
    <mergeCell ref="E11:E12"/>
    <mergeCell ref="F11:F12"/>
    <mergeCell ref="N11:N12"/>
    <mergeCell ref="O11:P11"/>
    <mergeCell ref="H11:H12"/>
    <mergeCell ref="I11:I12"/>
    <mergeCell ref="J11:J12"/>
    <mergeCell ref="K11:K12"/>
    <mergeCell ref="L11:L12"/>
    <mergeCell ref="M11:M12"/>
  </mergeCells>
  <printOptions horizontalCentered="1"/>
  <pageMargins left="0.19685039370078741" right="0.19685039370078741" top="0.39370078740157483" bottom="0.19685039370078741" header="0.19685039370078741" footer="0.19685039370078741"/>
  <pageSetup scale="5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AB425-BC86-4819-94D8-1FB3FC9C0EF0}">
  <dimension ref="A1:P35"/>
  <sheetViews>
    <sheetView showGridLines="0" topLeftCell="A5" zoomScale="85" zoomScaleNormal="85" workbookViewId="0">
      <selection activeCell="M28" sqref="M28"/>
    </sheetView>
  </sheetViews>
  <sheetFormatPr baseColWidth="10" defaultRowHeight="15" x14ac:dyDescent="0.25"/>
  <cols>
    <col min="1" max="1" width="3.28515625" customWidth="1"/>
    <col min="2" max="2" width="8.7109375" customWidth="1"/>
    <col min="3" max="3" width="25.7109375" customWidth="1"/>
    <col min="4" max="4" width="26.7109375" customWidth="1"/>
    <col min="5" max="5" width="8.7109375" customWidth="1"/>
    <col min="6" max="6" width="12.7109375" customWidth="1"/>
    <col min="7" max="10" width="11.7109375" customWidth="1"/>
    <col min="11" max="11" width="12.28515625" customWidth="1"/>
    <col min="12" max="12" width="12.7109375" customWidth="1"/>
    <col min="13" max="13" width="12.28515625" customWidth="1"/>
    <col min="14" max="16" width="12.7109375" customWidth="1"/>
  </cols>
  <sheetData>
    <row r="1" spans="1:16" ht="18.75" x14ac:dyDescent="0.3">
      <c r="A1" s="10"/>
      <c r="B1" s="10"/>
      <c r="C1" s="10"/>
      <c r="D1" s="10"/>
      <c r="E1" s="10"/>
      <c r="F1" s="10"/>
      <c r="G1" s="11"/>
      <c r="H1" s="10"/>
      <c r="I1" s="10"/>
      <c r="J1" s="10"/>
      <c r="K1" s="10"/>
      <c r="L1" s="10"/>
      <c r="M1" s="10"/>
      <c r="N1" s="10"/>
      <c r="O1" s="10"/>
      <c r="P1" s="10"/>
    </row>
    <row r="2" spans="1:16" ht="18.75" x14ac:dyDescent="0.3">
      <c r="A2" s="10"/>
      <c r="B2" s="10"/>
      <c r="C2" s="10"/>
      <c r="D2" s="10"/>
      <c r="E2" s="10"/>
      <c r="F2" s="10"/>
      <c r="G2" s="11"/>
      <c r="H2" s="10"/>
      <c r="I2" s="10"/>
      <c r="J2" s="10"/>
      <c r="K2" s="10"/>
      <c r="L2" s="10"/>
      <c r="M2" s="10"/>
      <c r="N2" s="10"/>
      <c r="O2" s="10"/>
      <c r="P2" s="10"/>
    </row>
    <row r="3" spans="1:16" ht="18.75" x14ac:dyDescent="0.3">
      <c r="A3" s="10"/>
      <c r="B3" s="10"/>
      <c r="C3" s="10"/>
      <c r="D3" s="10"/>
      <c r="E3" s="10"/>
      <c r="F3" s="10"/>
      <c r="G3" s="11"/>
      <c r="H3" s="10"/>
      <c r="I3" s="10"/>
      <c r="J3" s="10"/>
      <c r="K3" s="10"/>
      <c r="L3" s="10"/>
      <c r="M3" s="10"/>
      <c r="N3" s="10"/>
      <c r="O3" s="10"/>
      <c r="P3" s="10"/>
    </row>
    <row r="4" spans="1:16" ht="18.75" x14ac:dyDescent="0.3">
      <c r="A4" s="10"/>
      <c r="B4" s="10"/>
      <c r="C4" s="10"/>
      <c r="D4" s="10"/>
      <c r="E4" s="10"/>
      <c r="F4" s="10"/>
      <c r="G4" s="11"/>
      <c r="H4" s="10"/>
      <c r="I4" s="10"/>
      <c r="J4" s="10"/>
      <c r="K4" s="10"/>
      <c r="L4" s="10"/>
      <c r="M4" s="10"/>
      <c r="N4" s="10"/>
      <c r="O4" s="10"/>
      <c r="P4" s="10"/>
    </row>
    <row r="5" spans="1:16" ht="18.75" x14ac:dyDescent="0.3">
      <c r="A5" s="10"/>
      <c r="B5" s="10"/>
      <c r="C5" s="10"/>
      <c r="D5" s="10"/>
      <c r="E5" s="10"/>
      <c r="F5" s="10"/>
      <c r="G5" s="11"/>
      <c r="H5" s="10"/>
      <c r="I5" s="10"/>
      <c r="J5" s="10"/>
      <c r="K5" s="10"/>
      <c r="L5" s="10"/>
      <c r="M5" s="10"/>
      <c r="N5" s="10"/>
      <c r="O5" s="10"/>
      <c r="P5" s="10"/>
    </row>
    <row r="6" spans="1:16" ht="18.75" x14ac:dyDescent="0.3">
      <c r="A6" s="10"/>
      <c r="B6" s="10"/>
      <c r="C6" s="10"/>
      <c r="D6" s="10"/>
      <c r="E6" s="10"/>
      <c r="F6" s="10"/>
      <c r="G6" s="21"/>
      <c r="H6" s="10"/>
      <c r="I6" s="10"/>
      <c r="J6" s="10"/>
      <c r="K6" s="10"/>
      <c r="L6" s="10"/>
      <c r="M6" s="10"/>
      <c r="N6" s="10"/>
      <c r="O6" s="10"/>
      <c r="P6" s="10"/>
    </row>
    <row r="7" spans="1:16" ht="18.75" x14ac:dyDescent="0.3">
      <c r="A7" s="10" t="s">
        <v>8</v>
      </c>
      <c r="B7" s="10"/>
      <c r="C7" s="10"/>
      <c r="D7" s="10"/>
      <c r="E7" s="10"/>
      <c r="F7" s="10"/>
      <c r="G7" s="11"/>
      <c r="H7" s="10"/>
      <c r="I7" s="10"/>
      <c r="J7" s="10"/>
      <c r="K7" s="10"/>
      <c r="L7" s="10"/>
      <c r="M7" s="10"/>
      <c r="N7" s="10"/>
      <c r="O7" s="10"/>
      <c r="P7" s="10"/>
    </row>
    <row r="8" spans="1:16" ht="18.75" x14ac:dyDescent="0.3">
      <c r="A8" s="10" t="s">
        <v>73</v>
      </c>
      <c r="B8" s="10"/>
      <c r="C8" s="10"/>
      <c r="D8" s="10"/>
      <c r="E8" s="10"/>
      <c r="F8" s="10"/>
      <c r="G8" s="11"/>
      <c r="H8" s="10"/>
      <c r="I8" s="10"/>
      <c r="J8" s="10"/>
      <c r="K8" s="10"/>
      <c r="L8" s="10"/>
      <c r="M8" s="10"/>
      <c r="N8" s="10"/>
      <c r="O8" s="10"/>
      <c r="P8" s="10"/>
    </row>
    <row r="9" spans="1:16" ht="15.75" x14ac:dyDescent="0.25">
      <c r="A9" s="17" t="s">
        <v>15</v>
      </c>
      <c r="B9" s="4"/>
      <c r="C9" s="4"/>
      <c r="D9" s="4"/>
      <c r="E9" s="4"/>
      <c r="F9" s="4"/>
      <c r="G9" s="12"/>
      <c r="H9" s="4"/>
      <c r="I9" s="4"/>
      <c r="J9" s="4"/>
      <c r="K9" s="4"/>
      <c r="L9" s="4"/>
      <c r="M9" s="4"/>
      <c r="N9" s="4"/>
      <c r="O9" s="4"/>
      <c r="P9" s="4"/>
    </row>
    <row r="10" spans="1:16" ht="15" customHeight="1" x14ac:dyDescent="0.25">
      <c r="A10" s="14"/>
      <c r="B10" s="4"/>
      <c r="C10" s="4"/>
      <c r="D10" s="12"/>
      <c r="E10" s="4"/>
      <c r="F10" s="4"/>
      <c r="G10" s="4"/>
      <c r="H10" s="4"/>
      <c r="I10" s="4"/>
      <c r="J10" s="4"/>
      <c r="K10" s="4"/>
      <c r="L10" s="4"/>
      <c r="M10" s="4"/>
    </row>
    <row r="11" spans="1:16" ht="30" customHeight="1" x14ac:dyDescent="0.25">
      <c r="A11" s="22" t="s">
        <v>21</v>
      </c>
      <c r="B11" s="23" t="s">
        <v>22</v>
      </c>
      <c r="C11" s="19" t="s">
        <v>23</v>
      </c>
      <c r="D11" s="26" t="s">
        <v>24</v>
      </c>
      <c r="E11" s="27" t="s">
        <v>25</v>
      </c>
      <c r="F11" s="22" t="s">
        <v>35</v>
      </c>
      <c r="G11" s="22" t="s">
        <v>36</v>
      </c>
      <c r="H11" s="22" t="s">
        <v>38</v>
      </c>
      <c r="I11" s="22" t="s">
        <v>37</v>
      </c>
      <c r="J11" s="22" t="s">
        <v>26</v>
      </c>
      <c r="K11" s="22" t="s">
        <v>27</v>
      </c>
      <c r="L11" s="22" t="s">
        <v>28</v>
      </c>
      <c r="M11" s="22" t="s">
        <v>29</v>
      </c>
      <c r="N11" s="22" t="s">
        <v>30</v>
      </c>
      <c r="O11" s="24" t="s">
        <v>31</v>
      </c>
      <c r="P11" s="25"/>
    </row>
    <row r="12" spans="1:16" ht="48" customHeight="1" x14ac:dyDescent="0.25">
      <c r="A12" s="22"/>
      <c r="B12" s="23"/>
      <c r="C12" s="19" t="s">
        <v>33</v>
      </c>
      <c r="D12" s="26"/>
      <c r="E12" s="28"/>
      <c r="F12" s="22"/>
      <c r="G12" s="22"/>
      <c r="H12" s="22"/>
      <c r="I12" s="23"/>
      <c r="J12" s="22"/>
      <c r="K12" s="23"/>
      <c r="L12" s="23"/>
      <c r="M12" s="23"/>
      <c r="N12" s="23"/>
      <c r="O12" s="18" t="s">
        <v>32</v>
      </c>
      <c r="P12" s="18" t="s">
        <v>39</v>
      </c>
    </row>
    <row r="13" spans="1:16" ht="30" customHeight="1" x14ac:dyDescent="0.25">
      <c r="A13" s="1">
        <v>1</v>
      </c>
      <c r="B13" s="16" t="s">
        <v>16</v>
      </c>
      <c r="C13" s="8" t="s">
        <v>40</v>
      </c>
      <c r="D13" s="1" t="s">
        <v>17</v>
      </c>
      <c r="E13" s="2" t="s">
        <v>34</v>
      </c>
      <c r="F13" s="3">
        <v>0</v>
      </c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ht="30" customHeight="1" x14ac:dyDescent="0.25">
      <c r="A14" s="1">
        <f>A13+1</f>
        <v>2</v>
      </c>
      <c r="B14" s="16" t="s">
        <v>16</v>
      </c>
      <c r="C14" s="9" t="s">
        <v>41</v>
      </c>
      <c r="D14" s="1" t="s">
        <v>18</v>
      </c>
      <c r="E14" s="2" t="s">
        <v>34</v>
      </c>
      <c r="F14" s="3">
        <v>0</v>
      </c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ht="30" customHeight="1" x14ac:dyDescent="0.25">
      <c r="A15" s="1">
        <v>3</v>
      </c>
      <c r="B15" s="16" t="s">
        <v>16</v>
      </c>
      <c r="C15" s="9" t="s">
        <v>48</v>
      </c>
      <c r="D15" s="1" t="s">
        <v>19</v>
      </c>
      <c r="E15" s="2" t="s">
        <v>34</v>
      </c>
      <c r="F15" s="3">
        <v>0</v>
      </c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30" customHeight="1" x14ac:dyDescent="0.25">
      <c r="A16" s="1">
        <f t="shared" ref="A16:A25" si="0">A15+1</f>
        <v>4</v>
      </c>
      <c r="B16" s="16" t="s">
        <v>16</v>
      </c>
      <c r="C16" s="9" t="s">
        <v>49</v>
      </c>
      <c r="D16" s="1" t="s">
        <v>20</v>
      </c>
      <c r="E16" s="2" t="s">
        <v>34</v>
      </c>
      <c r="F16" s="15">
        <v>0</v>
      </c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1:16" ht="30" customHeight="1" x14ac:dyDescent="0.25">
      <c r="A17" s="1">
        <f t="shared" si="0"/>
        <v>5</v>
      </c>
      <c r="B17" s="2" t="s">
        <v>7</v>
      </c>
      <c r="C17" s="8" t="s">
        <v>43</v>
      </c>
      <c r="D17" s="1" t="s">
        <v>0</v>
      </c>
      <c r="E17" s="2" t="s">
        <v>34</v>
      </c>
      <c r="F17" s="15">
        <v>7500</v>
      </c>
      <c r="G17" s="15">
        <v>0</v>
      </c>
      <c r="H17" s="15">
        <v>4500</v>
      </c>
      <c r="I17" s="15"/>
      <c r="J17" s="15">
        <v>375</v>
      </c>
      <c r="K17" s="15"/>
      <c r="L17" s="15">
        <f>SUM(F17:K17)</f>
        <v>12375</v>
      </c>
      <c r="M17" s="15">
        <f>362.25+289.81</f>
        <v>652.05999999999995</v>
      </c>
      <c r="N17" s="15">
        <f t="shared" ref="N17:N27" si="1">+L17-M17</f>
        <v>11722.94</v>
      </c>
      <c r="O17" s="15"/>
      <c r="P17" s="15"/>
    </row>
    <row r="18" spans="1:16" ht="30" customHeight="1" x14ac:dyDescent="0.25">
      <c r="A18" s="1">
        <f t="shared" si="0"/>
        <v>6</v>
      </c>
      <c r="B18" s="2" t="s">
        <v>7</v>
      </c>
      <c r="C18" s="8" t="s">
        <v>6</v>
      </c>
      <c r="D18" s="1" t="s">
        <v>42</v>
      </c>
      <c r="E18" s="2" t="s">
        <v>34</v>
      </c>
      <c r="F18" s="15">
        <v>10966</v>
      </c>
      <c r="G18" s="15">
        <v>1462.18</v>
      </c>
      <c r="H18" s="15">
        <v>1550</v>
      </c>
      <c r="I18" s="15">
        <v>0</v>
      </c>
      <c r="J18" s="15">
        <v>375</v>
      </c>
      <c r="K18" s="15"/>
      <c r="L18" s="15">
        <f t="shared" ref="L18:L27" si="2">SUM(F18:K18)</f>
        <v>14353.18</v>
      </c>
      <c r="M18" s="15">
        <f>600.28+471.81</f>
        <v>1072.0899999999999</v>
      </c>
      <c r="N18" s="15">
        <f t="shared" si="1"/>
        <v>13281.09</v>
      </c>
      <c r="O18" s="15"/>
      <c r="P18" s="15"/>
    </row>
    <row r="19" spans="1:16" ht="30" customHeight="1" x14ac:dyDescent="0.25">
      <c r="A19" s="1">
        <f t="shared" si="0"/>
        <v>7</v>
      </c>
      <c r="B19" s="2" t="s">
        <v>7</v>
      </c>
      <c r="C19" s="8" t="s">
        <v>44</v>
      </c>
      <c r="D19" s="8" t="s">
        <v>45</v>
      </c>
      <c r="E19" s="2" t="s">
        <v>34</v>
      </c>
      <c r="F19" s="15">
        <v>7500</v>
      </c>
      <c r="G19" s="15"/>
      <c r="H19" s="15">
        <v>1500</v>
      </c>
      <c r="I19" s="15">
        <v>0</v>
      </c>
      <c r="J19" s="15">
        <v>375</v>
      </c>
      <c r="K19" s="15"/>
      <c r="L19" s="15">
        <f t="shared" si="2"/>
        <v>9375</v>
      </c>
      <c r="M19" s="15">
        <f>362.25+126+260.92</f>
        <v>749.17000000000007</v>
      </c>
      <c r="N19" s="15">
        <f t="shared" si="1"/>
        <v>8625.83</v>
      </c>
      <c r="O19" s="15"/>
      <c r="P19" s="15"/>
    </row>
    <row r="20" spans="1:16" ht="30" customHeight="1" x14ac:dyDescent="0.25">
      <c r="A20" s="1">
        <f t="shared" si="0"/>
        <v>8</v>
      </c>
      <c r="B20" s="2" t="s">
        <v>7</v>
      </c>
      <c r="C20" s="8" t="s">
        <v>9</v>
      </c>
      <c r="D20" s="1" t="s">
        <v>2</v>
      </c>
      <c r="E20" s="2" t="s">
        <v>34</v>
      </c>
      <c r="F20" s="15">
        <v>4243</v>
      </c>
      <c r="G20" s="15"/>
      <c r="H20" s="15">
        <v>1550</v>
      </c>
      <c r="I20" s="15">
        <v>500</v>
      </c>
      <c r="J20" s="15">
        <v>0</v>
      </c>
      <c r="K20" s="15"/>
      <c r="L20" s="15">
        <f t="shared" si="2"/>
        <v>6293</v>
      </c>
      <c r="M20" s="15">
        <f>204.94+84.58+116.49</f>
        <v>406.01</v>
      </c>
      <c r="N20" s="15">
        <f t="shared" si="1"/>
        <v>5886.99</v>
      </c>
      <c r="O20" s="15"/>
      <c r="P20" s="15"/>
    </row>
    <row r="21" spans="1:16" ht="30" customHeight="1" x14ac:dyDescent="0.25">
      <c r="A21" s="1">
        <f t="shared" si="0"/>
        <v>9</v>
      </c>
      <c r="B21" s="2" t="s">
        <v>7</v>
      </c>
      <c r="C21" s="8" t="s">
        <v>46</v>
      </c>
      <c r="D21" s="1" t="s">
        <v>3</v>
      </c>
      <c r="E21" s="2" t="s">
        <v>34</v>
      </c>
      <c r="F21" s="15">
        <v>3166.38</v>
      </c>
      <c r="G21" s="15">
        <v>392.51</v>
      </c>
      <c r="H21" s="15">
        <v>1550</v>
      </c>
      <c r="I21" s="15">
        <v>0</v>
      </c>
      <c r="J21" s="15">
        <v>0</v>
      </c>
      <c r="K21" s="15"/>
      <c r="L21" s="15">
        <f t="shared" si="2"/>
        <v>5108.8900000000003</v>
      </c>
      <c r="M21" s="15">
        <f>171.89+61.42+42.39</f>
        <v>275.7</v>
      </c>
      <c r="N21" s="15">
        <f>+L21-M21</f>
        <v>4833.1900000000005</v>
      </c>
      <c r="O21" s="15"/>
      <c r="P21" s="15"/>
    </row>
    <row r="22" spans="1:16" ht="30" customHeight="1" x14ac:dyDescent="0.25">
      <c r="A22" s="1">
        <f t="shared" si="0"/>
        <v>10</v>
      </c>
      <c r="B22" s="2" t="s">
        <v>7</v>
      </c>
      <c r="C22" s="8" t="s">
        <v>47</v>
      </c>
      <c r="D22" s="1" t="s">
        <v>1</v>
      </c>
      <c r="E22" s="2" t="s">
        <v>34</v>
      </c>
      <c r="F22" s="15">
        <v>3531</v>
      </c>
      <c r="G22" s="15">
        <v>220.7</v>
      </c>
      <c r="H22" s="15">
        <v>2841.75</v>
      </c>
      <c r="I22" s="15">
        <v>0</v>
      </c>
      <c r="J22" s="15">
        <v>0</v>
      </c>
      <c r="K22" s="15"/>
      <c r="L22" s="15">
        <f t="shared" si="2"/>
        <v>6593.45</v>
      </c>
      <c r="M22" s="15">
        <f>181.21+58.17</f>
        <v>239.38</v>
      </c>
      <c r="N22" s="15">
        <f t="shared" si="1"/>
        <v>6354.07</v>
      </c>
      <c r="O22" s="15"/>
      <c r="P22" s="15"/>
    </row>
    <row r="23" spans="1:16" ht="30" customHeight="1" x14ac:dyDescent="0.25">
      <c r="A23" s="1">
        <f t="shared" si="0"/>
        <v>11</v>
      </c>
      <c r="B23" s="2" t="s">
        <v>7</v>
      </c>
      <c r="C23" s="8" t="s">
        <v>10</v>
      </c>
      <c r="D23" s="1" t="s">
        <v>56</v>
      </c>
      <c r="E23" s="2" t="s">
        <v>34</v>
      </c>
      <c r="F23" s="15">
        <v>5697</v>
      </c>
      <c r="G23" s="15">
        <v>730.01</v>
      </c>
      <c r="H23" s="15">
        <v>1800</v>
      </c>
      <c r="I23" s="15">
        <v>500</v>
      </c>
      <c r="J23" s="15"/>
      <c r="K23" s="15"/>
      <c r="L23" s="15">
        <f>SUM(F23:K23)</f>
        <v>8727.01</v>
      </c>
      <c r="M23" s="15">
        <f>310.42+216.41</f>
        <v>526.83000000000004</v>
      </c>
      <c r="N23" s="15">
        <f t="shared" si="1"/>
        <v>8200.18</v>
      </c>
      <c r="O23" s="15"/>
      <c r="P23" s="15"/>
    </row>
    <row r="24" spans="1:16" ht="30" customHeight="1" x14ac:dyDescent="0.25">
      <c r="A24" s="1">
        <f t="shared" si="0"/>
        <v>12</v>
      </c>
      <c r="B24" s="2" t="s">
        <v>7</v>
      </c>
      <c r="C24" s="8" t="s">
        <v>11</v>
      </c>
      <c r="D24" s="1" t="s">
        <v>4</v>
      </c>
      <c r="E24" s="2" t="s">
        <v>34</v>
      </c>
      <c r="F24" s="15">
        <v>7392</v>
      </c>
      <c r="G24" s="15">
        <v>138.6</v>
      </c>
      <c r="H24" s="15">
        <v>2300</v>
      </c>
      <c r="I24" s="15">
        <v>500</v>
      </c>
      <c r="J24" s="15"/>
      <c r="K24" s="15"/>
      <c r="L24" s="15">
        <f t="shared" si="2"/>
        <v>10330.6</v>
      </c>
      <c r="M24" s="15">
        <f>363.73+338.4</f>
        <v>702.13</v>
      </c>
      <c r="N24" s="15">
        <f t="shared" si="1"/>
        <v>9628.4700000000012</v>
      </c>
      <c r="O24" s="15"/>
      <c r="P24" s="15"/>
    </row>
    <row r="25" spans="1:16" ht="30" customHeight="1" x14ac:dyDescent="0.25">
      <c r="A25" s="1">
        <f t="shared" si="0"/>
        <v>13</v>
      </c>
      <c r="B25" s="2" t="s">
        <v>7</v>
      </c>
      <c r="C25" s="8" t="s">
        <v>54</v>
      </c>
      <c r="D25" s="1" t="s">
        <v>55</v>
      </c>
      <c r="E25" s="2" t="s">
        <v>34</v>
      </c>
      <c r="F25" s="15">
        <v>6750</v>
      </c>
      <c r="G25" s="15"/>
      <c r="H25" s="15">
        <v>250</v>
      </c>
      <c r="I25" s="15">
        <v>0</v>
      </c>
      <c r="J25" s="15"/>
      <c r="K25" s="15"/>
      <c r="L25" s="15">
        <f t="shared" si="2"/>
        <v>7000</v>
      </c>
      <c r="M25" s="15">
        <f>326.02+161.44</f>
        <v>487.46</v>
      </c>
      <c r="N25" s="15">
        <f t="shared" si="1"/>
        <v>6512.54</v>
      </c>
      <c r="O25" s="15"/>
      <c r="P25" s="15"/>
    </row>
    <row r="26" spans="1:16" ht="30" customHeight="1" x14ac:dyDescent="0.25">
      <c r="A26" s="1">
        <v>15</v>
      </c>
      <c r="B26" s="2" t="s">
        <v>7</v>
      </c>
      <c r="C26" s="8" t="s">
        <v>12</v>
      </c>
      <c r="D26" s="1" t="s">
        <v>5</v>
      </c>
      <c r="E26" s="2" t="s">
        <v>34</v>
      </c>
      <c r="F26" s="15">
        <v>3166.38</v>
      </c>
      <c r="G26" s="15">
        <v>257.27999999999997</v>
      </c>
      <c r="H26" s="15">
        <v>1550</v>
      </c>
      <c r="I26" s="15">
        <v>0</v>
      </c>
      <c r="J26" s="15"/>
      <c r="K26" s="15"/>
      <c r="L26" s="15">
        <f t="shared" si="2"/>
        <v>4973.66</v>
      </c>
      <c r="M26" s="15">
        <f>165.36+35.58</f>
        <v>200.94</v>
      </c>
      <c r="N26" s="15">
        <f t="shared" si="1"/>
        <v>4772.72</v>
      </c>
      <c r="O26" s="15"/>
      <c r="P26" s="15"/>
    </row>
    <row r="27" spans="1:16" ht="30" customHeight="1" x14ac:dyDescent="0.25">
      <c r="A27" s="1">
        <v>16</v>
      </c>
      <c r="B27" s="2">
        <v>11</v>
      </c>
      <c r="C27" s="8" t="s">
        <v>50</v>
      </c>
      <c r="D27" s="1" t="s">
        <v>51</v>
      </c>
      <c r="E27" s="2" t="s">
        <v>34</v>
      </c>
      <c r="F27" s="15">
        <v>3166.38</v>
      </c>
      <c r="G27" s="15">
        <v>257.27999999999997</v>
      </c>
      <c r="H27" s="15">
        <v>1449</v>
      </c>
      <c r="I27" s="15"/>
      <c r="J27" s="15"/>
      <c r="K27" s="15"/>
      <c r="L27" s="15">
        <f t="shared" si="2"/>
        <v>4872.66</v>
      </c>
      <c r="M27" s="15">
        <f>165.36+32.63</f>
        <v>197.99</v>
      </c>
      <c r="N27" s="15">
        <f t="shared" si="1"/>
        <v>4674.67</v>
      </c>
      <c r="O27" s="15"/>
      <c r="P27" s="15"/>
    </row>
    <row r="28" spans="1:16" ht="30" customHeight="1" x14ac:dyDescent="0.25">
      <c r="A28" s="1">
        <v>18</v>
      </c>
      <c r="B28" s="2">
        <v>184</v>
      </c>
      <c r="C28" s="8" t="s">
        <v>61</v>
      </c>
      <c r="D28" s="8" t="s">
        <v>13</v>
      </c>
      <c r="E28" s="2" t="s">
        <v>34</v>
      </c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1:16" ht="30" customHeight="1" x14ac:dyDescent="0.25">
      <c r="A29" s="1">
        <v>19</v>
      </c>
      <c r="B29" s="2">
        <v>183</v>
      </c>
      <c r="C29" s="8" t="s">
        <v>52</v>
      </c>
      <c r="D29" s="1" t="s">
        <v>53</v>
      </c>
      <c r="E29" s="2" t="s">
        <v>34</v>
      </c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1" spans="1:16" ht="15" customHeight="1" x14ac:dyDescent="0.25"/>
    <row r="33" spans="1:16" s="6" customFormat="1" ht="0.95" customHeight="1" x14ac:dyDescent="0.25">
      <c r="A33"/>
      <c r="B3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20"/>
    </row>
    <row r="34" spans="1:16" x14ac:dyDescent="0.25">
      <c r="C34" s="7" t="s">
        <v>14</v>
      </c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6" x14ac:dyDescent="0.25">
      <c r="B35" s="5"/>
      <c r="C35" s="7" t="s">
        <v>58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</row>
  </sheetData>
  <mergeCells count="14">
    <mergeCell ref="G11:G12"/>
    <mergeCell ref="A11:A12"/>
    <mergeCell ref="B11:B12"/>
    <mergeCell ref="D11:D12"/>
    <mergeCell ref="E11:E12"/>
    <mergeCell ref="F11:F12"/>
    <mergeCell ref="N11:N12"/>
    <mergeCell ref="O11:P11"/>
    <mergeCell ref="H11:H12"/>
    <mergeCell ref="I11:I12"/>
    <mergeCell ref="J11:J12"/>
    <mergeCell ref="K11:K12"/>
    <mergeCell ref="L11:L12"/>
    <mergeCell ref="M11:M12"/>
  </mergeCells>
  <printOptions horizontalCentered="1"/>
  <pageMargins left="0.19685039370078741" right="0.19685039370078741" top="0.39370078740157483" bottom="0.19685039370078741" header="0.19685039370078741" footer="0.19685039370078741"/>
  <pageSetup scale="5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AC95B-ABBE-49C9-B758-239862CC22F1}">
  <dimension ref="A1:P36"/>
  <sheetViews>
    <sheetView showGridLines="0" tabSelected="1" topLeftCell="A13" zoomScale="85" zoomScaleNormal="85" workbookViewId="0">
      <selection activeCell="M19" sqref="M19"/>
    </sheetView>
  </sheetViews>
  <sheetFormatPr baseColWidth="10" defaultRowHeight="15" x14ac:dyDescent="0.25"/>
  <cols>
    <col min="1" max="1" width="3.28515625" customWidth="1"/>
    <col min="2" max="2" width="8.7109375" customWidth="1"/>
    <col min="3" max="3" width="25.7109375" customWidth="1"/>
    <col min="4" max="4" width="26.7109375" customWidth="1"/>
    <col min="5" max="5" width="8.7109375" customWidth="1"/>
    <col min="6" max="6" width="12.7109375" customWidth="1"/>
    <col min="7" max="10" width="11.7109375" customWidth="1"/>
    <col min="11" max="11" width="12.28515625" customWidth="1"/>
    <col min="12" max="12" width="12.7109375" customWidth="1"/>
    <col min="13" max="13" width="12.28515625" customWidth="1"/>
    <col min="14" max="16" width="12.7109375" customWidth="1"/>
  </cols>
  <sheetData>
    <row r="1" spans="1:16" ht="18.75" x14ac:dyDescent="0.3">
      <c r="A1" s="10"/>
      <c r="B1" s="10"/>
      <c r="C1" s="10"/>
      <c r="D1" s="10"/>
      <c r="E1" s="10"/>
      <c r="F1" s="10"/>
      <c r="G1" s="11"/>
      <c r="H1" s="10"/>
      <c r="I1" s="10"/>
      <c r="J1" s="10"/>
      <c r="K1" s="10"/>
      <c r="L1" s="10"/>
      <c r="M1" s="10"/>
      <c r="N1" s="10"/>
      <c r="O1" s="10"/>
      <c r="P1" s="10"/>
    </row>
    <row r="2" spans="1:16" ht="18.75" x14ac:dyDescent="0.3">
      <c r="A2" s="10"/>
      <c r="B2" s="10"/>
      <c r="C2" s="10"/>
      <c r="D2" s="10"/>
      <c r="E2" s="10"/>
      <c r="F2" s="10"/>
      <c r="G2" s="11"/>
      <c r="H2" s="10"/>
      <c r="I2" s="10"/>
      <c r="J2" s="10"/>
      <c r="K2" s="10"/>
      <c r="L2" s="10"/>
      <c r="M2" s="10"/>
      <c r="N2" s="10"/>
      <c r="O2" s="10"/>
      <c r="P2" s="10"/>
    </row>
    <row r="3" spans="1:16" ht="18.75" x14ac:dyDescent="0.3">
      <c r="A3" s="10"/>
      <c r="B3" s="10"/>
      <c r="C3" s="10"/>
      <c r="D3" s="10"/>
      <c r="E3" s="10"/>
      <c r="F3" s="10"/>
      <c r="G3" s="11"/>
      <c r="H3" s="10"/>
      <c r="I3" s="10"/>
      <c r="J3" s="10"/>
      <c r="K3" s="10"/>
      <c r="L3" s="10"/>
      <c r="M3" s="10"/>
      <c r="N3" s="10"/>
      <c r="O3" s="10"/>
      <c r="P3" s="10"/>
    </row>
    <row r="4" spans="1:16" ht="18.75" x14ac:dyDescent="0.3">
      <c r="A4" s="10"/>
      <c r="B4" s="10"/>
      <c r="C4" s="10"/>
      <c r="D4" s="10"/>
      <c r="E4" s="10"/>
      <c r="F4" s="10"/>
      <c r="G4" s="11"/>
      <c r="H4" s="10"/>
      <c r="I4" s="10"/>
      <c r="J4" s="10"/>
      <c r="K4" s="10"/>
      <c r="L4" s="10"/>
      <c r="M4" s="10"/>
      <c r="N4" s="10"/>
      <c r="O4" s="10"/>
      <c r="P4" s="10"/>
    </row>
    <row r="5" spans="1:16" ht="18.75" x14ac:dyDescent="0.3">
      <c r="A5" s="10"/>
      <c r="B5" s="10"/>
      <c r="C5" s="10"/>
      <c r="D5" s="10"/>
      <c r="E5" s="10"/>
      <c r="F5" s="10"/>
      <c r="G5" s="11"/>
      <c r="H5" s="10"/>
      <c r="I5" s="10"/>
      <c r="J5" s="10"/>
      <c r="K5" s="10"/>
      <c r="L5" s="10"/>
      <c r="M5" s="10"/>
      <c r="N5" s="10"/>
      <c r="O5" s="10"/>
      <c r="P5" s="10"/>
    </row>
    <row r="6" spans="1:16" ht="18.75" x14ac:dyDescent="0.3">
      <c r="A6" s="10"/>
      <c r="B6" s="10"/>
      <c r="C6" s="10"/>
      <c r="D6" s="10"/>
      <c r="E6" s="10"/>
      <c r="F6" s="10"/>
      <c r="G6" s="21"/>
      <c r="H6" s="10"/>
      <c r="I6" s="10"/>
      <c r="J6" s="10"/>
      <c r="K6" s="10"/>
      <c r="L6" s="10"/>
      <c r="M6" s="10"/>
      <c r="N6" s="10"/>
      <c r="O6" s="10"/>
      <c r="P6" s="10"/>
    </row>
    <row r="7" spans="1:16" ht="18.75" x14ac:dyDescent="0.3">
      <c r="A7" s="10" t="s">
        <v>8</v>
      </c>
      <c r="B7" s="10"/>
      <c r="C7" s="10"/>
      <c r="D7" s="10"/>
      <c r="E7" s="10"/>
      <c r="F7" s="10"/>
      <c r="G7" s="11"/>
      <c r="H7" s="10"/>
      <c r="I7" s="10"/>
      <c r="J7" s="10"/>
      <c r="K7" s="10"/>
      <c r="L7" s="10"/>
      <c r="M7" s="10"/>
      <c r="N7" s="10"/>
      <c r="O7" s="10"/>
      <c r="P7" s="10"/>
    </row>
    <row r="8" spans="1:16" ht="18.75" x14ac:dyDescent="0.3">
      <c r="A8" s="10" t="s">
        <v>74</v>
      </c>
      <c r="B8" s="10"/>
      <c r="C8" s="10"/>
      <c r="D8" s="10"/>
      <c r="E8" s="10"/>
      <c r="F8" s="10"/>
      <c r="G8" s="11"/>
      <c r="H8" s="10"/>
      <c r="I8" s="10"/>
      <c r="J8" s="10"/>
      <c r="K8" s="10"/>
      <c r="L8" s="10"/>
      <c r="M8" s="10"/>
      <c r="N8" s="10"/>
      <c r="O8" s="10"/>
      <c r="P8" s="10"/>
    </row>
    <row r="9" spans="1:16" ht="15.75" x14ac:dyDescent="0.25">
      <c r="A9" s="17" t="s">
        <v>15</v>
      </c>
      <c r="B9" s="4"/>
      <c r="C9" s="4"/>
      <c r="D9" s="4"/>
      <c r="E9" s="4"/>
      <c r="F9" s="4"/>
      <c r="G9" s="12"/>
      <c r="H9" s="4"/>
      <c r="I9" s="4"/>
      <c r="J9" s="4"/>
      <c r="K9" s="4"/>
      <c r="L9" s="4"/>
      <c r="M9" s="4"/>
      <c r="N9" s="4"/>
      <c r="O9" s="4"/>
      <c r="P9" s="4"/>
    </row>
    <row r="10" spans="1:16" ht="15" customHeight="1" x14ac:dyDescent="0.25">
      <c r="A10" s="14"/>
      <c r="B10" s="4"/>
      <c r="C10" s="4"/>
      <c r="D10" s="12"/>
      <c r="E10" s="4"/>
      <c r="F10" s="4"/>
      <c r="G10" s="4"/>
      <c r="H10" s="4"/>
      <c r="I10" s="4"/>
      <c r="J10" s="4"/>
      <c r="K10" s="4"/>
      <c r="L10" s="4"/>
      <c r="M10" s="4"/>
    </row>
    <row r="11" spans="1:16" ht="30" customHeight="1" x14ac:dyDescent="0.25">
      <c r="A11" s="22" t="s">
        <v>21</v>
      </c>
      <c r="B11" s="23" t="s">
        <v>22</v>
      </c>
      <c r="C11" s="19" t="s">
        <v>23</v>
      </c>
      <c r="D11" s="26" t="s">
        <v>24</v>
      </c>
      <c r="E11" s="27" t="s">
        <v>25</v>
      </c>
      <c r="F11" s="22" t="s">
        <v>35</v>
      </c>
      <c r="G11" s="22" t="s">
        <v>36</v>
      </c>
      <c r="H11" s="22" t="s">
        <v>38</v>
      </c>
      <c r="I11" s="22" t="s">
        <v>37</v>
      </c>
      <c r="J11" s="22" t="s">
        <v>26</v>
      </c>
      <c r="K11" s="22" t="s">
        <v>27</v>
      </c>
      <c r="L11" s="22" t="s">
        <v>28</v>
      </c>
      <c r="M11" s="22" t="s">
        <v>29</v>
      </c>
      <c r="N11" s="22" t="s">
        <v>30</v>
      </c>
      <c r="O11" s="24" t="s">
        <v>31</v>
      </c>
      <c r="P11" s="25"/>
    </row>
    <row r="12" spans="1:16" ht="48" customHeight="1" x14ac:dyDescent="0.25">
      <c r="A12" s="22"/>
      <c r="B12" s="23"/>
      <c r="C12" s="19" t="s">
        <v>33</v>
      </c>
      <c r="D12" s="26"/>
      <c r="E12" s="28"/>
      <c r="F12" s="22"/>
      <c r="G12" s="22"/>
      <c r="H12" s="22"/>
      <c r="I12" s="23"/>
      <c r="J12" s="22"/>
      <c r="K12" s="23"/>
      <c r="L12" s="23"/>
      <c r="M12" s="23"/>
      <c r="N12" s="23"/>
      <c r="O12" s="18" t="s">
        <v>32</v>
      </c>
      <c r="P12" s="18" t="s">
        <v>39</v>
      </c>
    </row>
    <row r="13" spans="1:16" ht="30" customHeight="1" x14ac:dyDescent="0.25">
      <c r="A13" s="1">
        <v>1</v>
      </c>
      <c r="B13" s="16" t="s">
        <v>16</v>
      </c>
      <c r="C13" s="8" t="s">
        <v>75</v>
      </c>
      <c r="D13" s="1" t="s">
        <v>17</v>
      </c>
      <c r="E13" s="2" t="s">
        <v>34</v>
      </c>
      <c r="F13" s="3">
        <v>0</v>
      </c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ht="30" customHeight="1" x14ac:dyDescent="0.25">
      <c r="A14" s="1">
        <f>A13+1</f>
        <v>2</v>
      </c>
      <c r="B14" s="16" t="s">
        <v>16</v>
      </c>
      <c r="C14" s="9" t="s">
        <v>76</v>
      </c>
      <c r="D14" s="1" t="s">
        <v>18</v>
      </c>
      <c r="E14" s="2" t="s">
        <v>34</v>
      </c>
      <c r="F14" s="3">
        <v>0</v>
      </c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ht="30" customHeight="1" x14ac:dyDescent="0.25">
      <c r="A15" s="1">
        <v>3</v>
      </c>
      <c r="B15" s="16" t="s">
        <v>16</v>
      </c>
      <c r="C15" s="9" t="s">
        <v>48</v>
      </c>
      <c r="D15" s="1" t="s">
        <v>19</v>
      </c>
      <c r="E15" s="2" t="s">
        <v>34</v>
      </c>
      <c r="F15" s="3">
        <v>0</v>
      </c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30" customHeight="1" x14ac:dyDescent="0.25">
      <c r="A16" s="1">
        <f t="shared" ref="A16:A26" si="0">A15+1</f>
        <v>4</v>
      </c>
      <c r="B16" s="16" t="s">
        <v>16</v>
      </c>
      <c r="C16" s="9" t="s">
        <v>49</v>
      </c>
      <c r="D16" s="1" t="s">
        <v>20</v>
      </c>
      <c r="E16" s="2" t="s">
        <v>34</v>
      </c>
      <c r="F16" s="15">
        <v>0</v>
      </c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1:16" ht="30" customHeight="1" x14ac:dyDescent="0.25">
      <c r="A17" s="1">
        <v>5</v>
      </c>
      <c r="B17" s="16" t="s">
        <v>16</v>
      </c>
      <c r="C17" s="9" t="s">
        <v>77</v>
      </c>
      <c r="D17" s="1" t="s">
        <v>78</v>
      </c>
      <c r="E17" s="2" t="s">
        <v>79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</row>
    <row r="18" spans="1:16" ht="30" customHeight="1" x14ac:dyDescent="0.25">
      <c r="A18" s="1">
        <v>6</v>
      </c>
      <c r="B18" s="2" t="s">
        <v>7</v>
      </c>
      <c r="C18" s="8" t="s">
        <v>43</v>
      </c>
      <c r="D18" s="1" t="s">
        <v>0</v>
      </c>
      <c r="E18" s="2" t="s">
        <v>34</v>
      </c>
      <c r="F18" s="15">
        <v>1000</v>
      </c>
      <c r="G18" s="15">
        <v>0</v>
      </c>
      <c r="H18" s="15">
        <v>600</v>
      </c>
      <c r="I18" s="15"/>
      <c r="J18" s="15">
        <v>375</v>
      </c>
      <c r="K18" s="15"/>
      <c r="L18" s="15">
        <f>SUM(F18:K18)</f>
        <v>1975</v>
      </c>
      <c r="M18" s="15">
        <f>289.81</f>
        <v>289.81</v>
      </c>
      <c r="N18" s="15">
        <f t="shared" ref="N18:N28" si="1">+L18-M18</f>
        <v>1685.19</v>
      </c>
      <c r="O18" s="15"/>
      <c r="P18" s="15"/>
    </row>
    <row r="19" spans="1:16" ht="30" customHeight="1" x14ac:dyDescent="0.25">
      <c r="A19" s="1">
        <f t="shared" si="0"/>
        <v>7</v>
      </c>
      <c r="B19" s="2" t="s">
        <v>7</v>
      </c>
      <c r="C19" s="8" t="s">
        <v>6</v>
      </c>
      <c r="D19" s="1" t="s">
        <v>42</v>
      </c>
      <c r="E19" s="2" t="s">
        <v>34</v>
      </c>
      <c r="F19" s="15">
        <v>10966</v>
      </c>
      <c r="G19" s="15"/>
      <c r="H19" s="15">
        <v>1550</v>
      </c>
      <c r="I19" s="15">
        <v>0</v>
      </c>
      <c r="J19" s="15">
        <v>375</v>
      </c>
      <c r="K19" s="15"/>
      <c r="L19" s="15">
        <f t="shared" ref="L19:L28" si="2">SUM(F19:K19)</f>
        <v>12891</v>
      </c>
      <c r="M19" s="15">
        <f>600.28+471.81</f>
        <v>1072.0899999999999</v>
      </c>
      <c r="N19" s="15">
        <f t="shared" si="1"/>
        <v>11818.91</v>
      </c>
      <c r="O19" s="15"/>
      <c r="P19" s="15"/>
    </row>
    <row r="20" spans="1:16" ht="30" customHeight="1" x14ac:dyDescent="0.25">
      <c r="A20" s="1">
        <f t="shared" si="0"/>
        <v>8</v>
      </c>
      <c r="B20" s="2" t="s">
        <v>7</v>
      </c>
      <c r="C20" s="8" t="s">
        <v>44</v>
      </c>
      <c r="D20" s="8" t="s">
        <v>45</v>
      </c>
      <c r="E20" s="2" t="s">
        <v>34</v>
      </c>
      <c r="F20" s="15">
        <v>7500</v>
      </c>
      <c r="G20" s="15"/>
      <c r="H20" s="15">
        <v>1500</v>
      </c>
      <c r="I20" s="15">
        <v>0</v>
      </c>
      <c r="J20" s="15">
        <v>375</v>
      </c>
      <c r="K20" s="15"/>
      <c r="L20" s="15">
        <f t="shared" si="2"/>
        <v>9375</v>
      </c>
      <c r="M20" s="15">
        <f>362.25+126+260.92</f>
        <v>749.17000000000007</v>
      </c>
      <c r="N20" s="15">
        <f t="shared" si="1"/>
        <v>8625.83</v>
      </c>
      <c r="O20" s="15"/>
      <c r="P20" s="15"/>
    </row>
    <row r="21" spans="1:16" ht="30" customHeight="1" x14ac:dyDescent="0.25">
      <c r="A21" s="1">
        <f t="shared" si="0"/>
        <v>9</v>
      </c>
      <c r="B21" s="2" t="s">
        <v>7</v>
      </c>
      <c r="C21" s="8" t="s">
        <v>9</v>
      </c>
      <c r="D21" s="1" t="s">
        <v>2</v>
      </c>
      <c r="E21" s="2" t="s">
        <v>34</v>
      </c>
      <c r="F21" s="15">
        <v>4243</v>
      </c>
      <c r="G21" s="15"/>
      <c r="H21" s="15">
        <v>1550</v>
      </c>
      <c r="I21" s="15">
        <v>500</v>
      </c>
      <c r="J21" s="15">
        <v>0</v>
      </c>
      <c r="K21" s="15"/>
      <c r="L21" s="15">
        <f t="shared" si="2"/>
        <v>6293</v>
      </c>
      <c r="M21" s="15">
        <f>204.94+84.58+116.49</f>
        <v>406.01</v>
      </c>
      <c r="N21" s="15">
        <f t="shared" si="1"/>
        <v>5886.99</v>
      </c>
      <c r="O21" s="15"/>
      <c r="P21" s="15"/>
    </row>
    <row r="22" spans="1:16" ht="30" customHeight="1" x14ac:dyDescent="0.25">
      <c r="A22" s="1">
        <f t="shared" si="0"/>
        <v>10</v>
      </c>
      <c r="B22" s="2" t="s">
        <v>7</v>
      </c>
      <c r="C22" s="8" t="s">
        <v>46</v>
      </c>
      <c r="D22" s="1" t="s">
        <v>3</v>
      </c>
      <c r="E22" s="2" t="s">
        <v>34</v>
      </c>
      <c r="F22" s="15">
        <v>3166.38</v>
      </c>
      <c r="G22" s="15"/>
      <c r="H22" s="15">
        <v>1550</v>
      </c>
      <c r="I22" s="15">
        <v>0</v>
      </c>
      <c r="J22" s="15">
        <v>0</v>
      </c>
      <c r="K22" s="15"/>
      <c r="L22" s="15">
        <f t="shared" si="2"/>
        <v>4716.38</v>
      </c>
      <c r="M22" s="15">
        <f>171.89+61.42+42.39</f>
        <v>275.7</v>
      </c>
      <c r="N22" s="15">
        <f>+L22-M22</f>
        <v>4440.68</v>
      </c>
      <c r="O22" s="15"/>
      <c r="P22" s="15"/>
    </row>
    <row r="23" spans="1:16" ht="30" customHeight="1" x14ac:dyDescent="0.25">
      <c r="A23" s="1">
        <f t="shared" si="0"/>
        <v>11</v>
      </c>
      <c r="B23" s="2" t="s">
        <v>7</v>
      </c>
      <c r="C23" s="8" t="s">
        <v>47</v>
      </c>
      <c r="D23" s="1" t="s">
        <v>1</v>
      </c>
      <c r="E23" s="2" t="s">
        <v>34</v>
      </c>
      <c r="F23" s="15">
        <v>3531</v>
      </c>
      <c r="G23" s="15"/>
      <c r="H23" s="15">
        <v>2841.75</v>
      </c>
      <c r="I23" s="15">
        <v>0</v>
      </c>
      <c r="J23" s="15">
        <v>0</v>
      </c>
      <c r="K23" s="15"/>
      <c r="L23" s="15">
        <f t="shared" si="2"/>
        <v>6372.75</v>
      </c>
      <c r="M23" s="15">
        <f>181.21+58.17</f>
        <v>239.38</v>
      </c>
      <c r="N23" s="15">
        <f t="shared" si="1"/>
        <v>6133.37</v>
      </c>
      <c r="O23" s="15"/>
      <c r="P23" s="15"/>
    </row>
    <row r="24" spans="1:16" ht="30" customHeight="1" x14ac:dyDescent="0.25">
      <c r="A24" s="1">
        <f t="shared" si="0"/>
        <v>12</v>
      </c>
      <c r="B24" s="2" t="s">
        <v>7</v>
      </c>
      <c r="C24" s="8" t="s">
        <v>10</v>
      </c>
      <c r="D24" s="1" t="s">
        <v>56</v>
      </c>
      <c r="E24" s="2" t="s">
        <v>34</v>
      </c>
      <c r="F24" s="15">
        <v>5697</v>
      </c>
      <c r="G24" s="15"/>
      <c r="H24" s="15">
        <v>1800</v>
      </c>
      <c r="I24" s="15">
        <v>500</v>
      </c>
      <c r="J24" s="15"/>
      <c r="K24" s="15"/>
      <c r="L24" s="15">
        <f>SUM(F24:K24)</f>
        <v>7997</v>
      </c>
      <c r="M24" s="15">
        <f>310.42+216.41</f>
        <v>526.83000000000004</v>
      </c>
      <c r="N24" s="15">
        <f t="shared" si="1"/>
        <v>7470.17</v>
      </c>
      <c r="O24" s="15"/>
      <c r="P24" s="15"/>
    </row>
    <row r="25" spans="1:16" ht="30" customHeight="1" x14ac:dyDescent="0.25">
      <c r="A25" s="1">
        <f t="shared" si="0"/>
        <v>13</v>
      </c>
      <c r="B25" s="2" t="s">
        <v>7</v>
      </c>
      <c r="C25" s="8" t="s">
        <v>11</v>
      </c>
      <c r="D25" s="1" t="s">
        <v>4</v>
      </c>
      <c r="E25" s="2" t="s">
        <v>34</v>
      </c>
      <c r="F25" s="15">
        <v>7392</v>
      </c>
      <c r="G25" s="15"/>
      <c r="H25" s="15">
        <v>2300</v>
      </c>
      <c r="I25" s="15">
        <v>500</v>
      </c>
      <c r="J25" s="15"/>
      <c r="K25" s="15"/>
      <c r="L25" s="15">
        <f t="shared" si="2"/>
        <v>10192</v>
      </c>
      <c r="M25" s="15">
        <f>363.73+338.4</f>
        <v>702.13</v>
      </c>
      <c r="N25" s="15">
        <f t="shared" si="1"/>
        <v>9489.8700000000008</v>
      </c>
      <c r="O25" s="15"/>
      <c r="P25" s="15"/>
    </row>
    <row r="26" spans="1:16" ht="30" customHeight="1" x14ac:dyDescent="0.25">
      <c r="A26" s="1">
        <f t="shared" si="0"/>
        <v>14</v>
      </c>
      <c r="B26" s="2" t="s">
        <v>7</v>
      </c>
      <c r="C26" s="8" t="s">
        <v>54</v>
      </c>
      <c r="D26" s="1" t="s">
        <v>55</v>
      </c>
      <c r="E26" s="2" t="s">
        <v>34</v>
      </c>
      <c r="F26" s="15">
        <v>6750</v>
      </c>
      <c r="G26" s="15"/>
      <c r="H26" s="15">
        <v>250</v>
      </c>
      <c r="I26" s="15">
        <v>0</v>
      </c>
      <c r="J26" s="15"/>
      <c r="K26" s="15"/>
      <c r="L26" s="15">
        <f t="shared" si="2"/>
        <v>7000</v>
      </c>
      <c r="M26" s="15">
        <f>326.02+161.44</f>
        <v>487.46</v>
      </c>
      <c r="N26" s="15">
        <f t="shared" si="1"/>
        <v>6512.54</v>
      </c>
      <c r="O26" s="15"/>
      <c r="P26" s="15"/>
    </row>
    <row r="27" spans="1:16" ht="30" customHeight="1" x14ac:dyDescent="0.25">
      <c r="A27" s="1">
        <v>15</v>
      </c>
      <c r="B27" s="2" t="s">
        <v>7</v>
      </c>
      <c r="C27" s="8" t="s">
        <v>12</v>
      </c>
      <c r="D27" s="1" t="s">
        <v>5</v>
      </c>
      <c r="E27" s="2" t="s">
        <v>34</v>
      </c>
      <c r="F27" s="15">
        <v>3166.38</v>
      </c>
      <c r="G27" s="15"/>
      <c r="H27" s="15">
        <v>1550</v>
      </c>
      <c r="I27" s="15">
        <v>0</v>
      </c>
      <c r="J27" s="15"/>
      <c r="K27" s="15"/>
      <c r="L27" s="15">
        <f t="shared" si="2"/>
        <v>4716.38</v>
      </c>
      <c r="M27" s="15">
        <f>165.36+35.58</f>
        <v>200.94</v>
      </c>
      <c r="N27" s="15">
        <f t="shared" si="1"/>
        <v>4515.4400000000005</v>
      </c>
      <c r="O27" s="15"/>
      <c r="P27" s="15"/>
    </row>
    <row r="28" spans="1:16" ht="30" customHeight="1" x14ac:dyDescent="0.25">
      <c r="A28" s="1">
        <v>16</v>
      </c>
      <c r="B28" s="2">
        <v>11</v>
      </c>
      <c r="C28" s="8" t="s">
        <v>50</v>
      </c>
      <c r="D28" s="1" t="s">
        <v>51</v>
      </c>
      <c r="E28" s="2" t="s">
        <v>34</v>
      </c>
      <c r="F28" s="15">
        <v>3166.38</v>
      </c>
      <c r="G28" s="15"/>
      <c r="H28" s="15">
        <v>1449</v>
      </c>
      <c r="I28" s="15"/>
      <c r="J28" s="15"/>
      <c r="K28" s="15"/>
      <c r="L28" s="15">
        <f t="shared" si="2"/>
        <v>4615.38</v>
      </c>
      <c r="M28" s="15">
        <f>165.36+32.63</f>
        <v>197.99</v>
      </c>
      <c r="N28" s="15">
        <f t="shared" si="1"/>
        <v>4417.3900000000003</v>
      </c>
      <c r="O28" s="15"/>
      <c r="P28" s="15"/>
    </row>
    <row r="29" spans="1:16" ht="30" customHeight="1" x14ac:dyDescent="0.25">
      <c r="A29" s="1">
        <v>18</v>
      </c>
      <c r="B29" s="2">
        <v>184</v>
      </c>
      <c r="C29" s="8" t="s">
        <v>61</v>
      </c>
      <c r="D29" s="8" t="s">
        <v>13</v>
      </c>
      <c r="E29" s="2" t="s">
        <v>34</v>
      </c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1:16" ht="30" customHeight="1" x14ac:dyDescent="0.25">
      <c r="A30" s="1">
        <v>19</v>
      </c>
      <c r="B30" s="2">
        <v>183</v>
      </c>
      <c r="C30" s="8" t="s">
        <v>52</v>
      </c>
      <c r="D30" s="1" t="s">
        <v>53</v>
      </c>
      <c r="E30" s="2" t="s">
        <v>34</v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2" spans="1:16" ht="15" customHeight="1" x14ac:dyDescent="0.25"/>
    <row r="34" spans="1:16" s="6" customFormat="1" ht="0.95" customHeight="1" x14ac:dyDescent="0.25">
      <c r="A34"/>
      <c r="B34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20"/>
    </row>
    <row r="35" spans="1:16" x14ac:dyDescent="0.25">
      <c r="C35" s="7" t="s">
        <v>14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</row>
    <row r="36" spans="1:16" x14ac:dyDescent="0.25">
      <c r="B36" s="5"/>
      <c r="C36" s="7" t="s">
        <v>58</v>
      </c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</row>
  </sheetData>
  <mergeCells count="14">
    <mergeCell ref="N11:N12"/>
    <mergeCell ref="O11:P11"/>
    <mergeCell ref="H11:H12"/>
    <mergeCell ref="I11:I12"/>
    <mergeCell ref="J11:J12"/>
    <mergeCell ref="K11:K12"/>
    <mergeCell ref="L11:L12"/>
    <mergeCell ref="M11:M12"/>
    <mergeCell ref="A11:A12"/>
    <mergeCell ref="B11:B12"/>
    <mergeCell ref="D11:D12"/>
    <mergeCell ref="E11:E12"/>
    <mergeCell ref="F11:F12"/>
    <mergeCell ref="G11:G12"/>
  </mergeCells>
  <printOptions horizontalCentered="1"/>
  <pageMargins left="0.19685039370078741" right="0.19685039370078741" top="0.39370078740157483" bottom="0.19685039370078741" header="0.19685039370078741" footer="0.19685039370078741"/>
  <pageSetup scale="5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4271B-ADF6-4B1E-995F-79CC19AE5CAB}">
  <dimension ref="A1:P35"/>
  <sheetViews>
    <sheetView showGridLines="0" topLeftCell="A11" zoomScale="85" zoomScaleNormal="85" workbookViewId="0">
      <selection activeCell="A16" sqref="A16"/>
    </sheetView>
  </sheetViews>
  <sheetFormatPr baseColWidth="10" defaultRowHeight="15" x14ac:dyDescent="0.25"/>
  <cols>
    <col min="1" max="1" width="3.28515625" customWidth="1"/>
    <col min="2" max="2" width="8.7109375" customWidth="1"/>
    <col min="3" max="3" width="25.7109375" customWidth="1"/>
    <col min="4" max="4" width="26.7109375" customWidth="1"/>
    <col min="5" max="5" width="8.7109375" customWidth="1"/>
    <col min="6" max="6" width="12.7109375" customWidth="1"/>
    <col min="7" max="10" width="11.7109375" customWidth="1"/>
    <col min="11" max="11" width="12.28515625" customWidth="1"/>
    <col min="12" max="12" width="12.7109375" customWidth="1"/>
    <col min="13" max="13" width="12.28515625" customWidth="1"/>
    <col min="14" max="16" width="12.7109375" customWidth="1"/>
  </cols>
  <sheetData>
    <row r="1" spans="1:16" ht="18.75" x14ac:dyDescent="0.3">
      <c r="A1" s="10"/>
      <c r="B1" s="10"/>
      <c r="C1" s="10"/>
      <c r="D1" s="10"/>
      <c r="E1" s="10"/>
      <c r="F1" s="10"/>
      <c r="G1" s="11"/>
      <c r="H1" s="10"/>
      <c r="I1" s="10"/>
      <c r="J1" s="10"/>
      <c r="K1" s="10"/>
      <c r="L1" s="10"/>
      <c r="M1" s="10"/>
      <c r="N1" s="10"/>
      <c r="O1" s="10"/>
      <c r="P1" s="10"/>
    </row>
    <row r="2" spans="1:16" ht="18.75" x14ac:dyDescent="0.3">
      <c r="A2" s="10"/>
      <c r="B2" s="10"/>
      <c r="C2" s="10"/>
      <c r="D2" s="10"/>
      <c r="E2" s="10"/>
      <c r="F2" s="10"/>
      <c r="G2" s="11"/>
      <c r="H2" s="10"/>
      <c r="I2" s="10"/>
      <c r="J2" s="10"/>
      <c r="K2" s="10"/>
      <c r="L2" s="10"/>
      <c r="M2" s="10"/>
      <c r="N2" s="10"/>
      <c r="O2" s="10"/>
      <c r="P2" s="10"/>
    </row>
    <row r="3" spans="1:16" ht="18.75" x14ac:dyDescent="0.3">
      <c r="A3" s="10"/>
      <c r="B3" s="10"/>
      <c r="C3" s="10"/>
      <c r="D3" s="10"/>
      <c r="E3" s="10"/>
      <c r="F3" s="10"/>
      <c r="G3" s="11"/>
      <c r="H3" s="10"/>
      <c r="I3" s="10"/>
      <c r="J3" s="10"/>
      <c r="K3" s="10"/>
      <c r="L3" s="10"/>
      <c r="M3" s="10"/>
      <c r="N3" s="10"/>
      <c r="O3" s="10"/>
      <c r="P3" s="10"/>
    </row>
    <row r="4" spans="1:16" ht="18.75" x14ac:dyDescent="0.3">
      <c r="A4" s="10"/>
      <c r="B4" s="10"/>
      <c r="C4" s="10"/>
      <c r="D4" s="10"/>
      <c r="E4" s="10"/>
      <c r="F4" s="10"/>
      <c r="G4" s="11"/>
      <c r="H4" s="10"/>
      <c r="I4" s="10"/>
      <c r="J4" s="10"/>
      <c r="K4" s="10"/>
      <c r="L4" s="10"/>
      <c r="M4" s="10"/>
      <c r="N4" s="10"/>
      <c r="O4" s="10"/>
      <c r="P4" s="10"/>
    </row>
    <row r="5" spans="1:16" ht="18.75" x14ac:dyDescent="0.3">
      <c r="A5" s="10"/>
      <c r="B5" s="10"/>
      <c r="C5" s="10"/>
      <c r="D5" s="10"/>
      <c r="E5" s="10"/>
      <c r="F5" s="10"/>
      <c r="G5" s="11"/>
      <c r="H5" s="10"/>
      <c r="I5" s="10"/>
      <c r="J5" s="10"/>
      <c r="K5" s="10"/>
      <c r="L5" s="10"/>
      <c r="M5" s="10"/>
      <c r="N5" s="10"/>
      <c r="O5" s="10"/>
      <c r="P5" s="10"/>
    </row>
    <row r="6" spans="1:16" ht="18.75" x14ac:dyDescent="0.3">
      <c r="A6" s="10"/>
      <c r="B6" s="10"/>
      <c r="C6" s="10"/>
      <c r="D6" s="10"/>
      <c r="E6" s="10"/>
      <c r="F6" s="10"/>
      <c r="G6" s="21"/>
      <c r="H6" s="10"/>
      <c r="I6" s="10"/>
      <c r="J6" s="10"/>
      <c r="K6" s="10"/>
      <c r="L6" s="10"/>
      <c r="M6" s="10"/>
      <c r="N6" s="10"/>
      <c r="O6" s="10"/>
      <c r="P6" s="10"/>
    </row>
    <row r="7" spans="1:16" ht="18.75" x14ac:dyDescent="0.3">
      <c r="A7" s="10" t="s">
        <v>8</v>
      </c>
      <c r="B7" s="10"/>
      <c r="C7" s="10"/>
      <c r="D7" s="10"/>
      <c r="E7" s="10"/>
      <c r="F7" s="10"/>
      <c r="G7" s="11"/>
      <c r="H7" s="10"/>
      <c r="I7" s="10"/>
      <c r="J7" s="10"/>
      <c r="K7" s="10"/>
      <c r="L7" s="10"/>
      <c r="M7" s="10"/>
      <c r="N7" s="10"/>
      <c r="O7" s="10"/>
      <c r="P7" s="10"/>
    </row>
    <row r="8" spans="1:16" ht="18.75" x14ac:dyDescent="0.3">
      <c r="A8" s="10" t="s">
        <v>59</v>
      </c>
      <c r="B8" s="10"/>
      <c r="C8" s="10"/>
      <c r="D8" s="10"/>
      <c r="E8" s="10"/>
      <c r="F8" s="10"/>
      <c r="G8" s="11"/>
      <c r="H8" s="10"/>
      <c r="I8" s="10"/>
      <c r="J8" s="10"/>
      <c r="K8" s="10"/>
      <c r="L8" s="10"/>
      <c r="M8" s="10"/>
      <c r="N8" s="10"/>
      <c r="O8" s="10"/>
      <c r="P8" s="10"/>
    </row>
    <row r="9" spans="1:16" ht="15.75" x14ac:dyDescent="0.25">
      <c r="A9" s="17" t="s">
        <v>15</v>
      </c>
      <c r="B9" s="4"/>
      <c r="C9" s="4"/>
      <c r="D9" s="4"/>
      <c r="E9" s="4"/>
      <c r="F9" s="4"/>
      <c r="G9" s="12"/>
      <c r="H9" s="4"/>
      <c r="I9" s="4"/>
      <c r="J9" s="4"/>
      <c r="K9" s="4"/>
      <c r="L9" s="4"/>
      <c r="M9" s="4"/>
      <c r="N9" s="4"/>
      <c r="O9" s="4"/>
      <c r="P9" s="4"/>
    </row>
    <row r="10" spans="1:16" ht="15" customHeight="1" x14ac:dyDescent="0.25">
      <c r="A10" s="14"/>
      <c r="B10" s="4"/>
      <c r="C10" s="4"/>
      <c r="D10" s="12"/>
      <c r="E10" s="4"/>
      <c r="F10" s="4"/>
      <c r="G10" s="4"/>
      <c r="H10" s="4"/>
      <c r="I10" s="4"/>
      <c r="J10" s="4"/>
      <c r="K10" s="4"/>
      <c r="L10" s="4"/>
      <c r="M10" s="4"/>
    </row>
    <row r="11" spans="1:16" ht="30" customHeight="1" x14ac:dyDescent="0.25">
      <c r="A11" s="22" t="s">
        <v>21</v>
      </c>
      <c r="B11" s="23" t="s">
        <v>22</v>
      </c>
      <c r="C11" s="19" t="s">
        <v>23</v>
      </c>
      <c r="D11" s="26" t="s">
        <v>24</v>
      </c>
      <c r="E11" s="27" t="s">
        <v>25</v>
      </c>
      <c r="F11" s="22" t="s">
        <v>35</v>
      </c>
      <c r="G11" s="22" t="s">
        <v>36</v>
      </c>
      <c r="H11" s="22" t="s">
        <v>38</v>
      </c>
      <c r="I11" s="22" t="s">
        <v>37</v>
      </c>
      <c r="J11" s="22" t="s">
        <v>26</v>
      </c>
      <c r="K11" s="22" t="s">
        <v>27</v>
      </c>
      <c r="L11" s="22" t="s">
        <v>28</v>
      </c>
      <c r="M11" s="22" t="s">
        <v>29</v>
      </c>
      <c r="N11" s="22" t="s">
        <v>30</v>
      </c>
      <c r="O11" s="24" t="s">
        <v>31</v>
      </c>
      <c r="P11" s="25"/>
    </row>
    <row r="12" spans="1:16" ht="48" customHeight="1" x14ac:dyDescent="0.25">
      <c r="A12" s="22"/>
      <c r="B12" s="23"/>
      <c r="C12" s="19" t="s">
        <v>33</v>
      </c>
      <c r="D12" s="26"/>
      <c r="E12" s="28"/>
      <c r="F12" s="22"/>
      <c r="G12" s="22"/>
      <c r="H12" s="22"/>
      <c r="I12" s="23"/>
      <c r="J12" s="22"/>
      <c r="K12" s="23"/>
      <c r="L12" s="23"/>
      <c r="M12" s="23"/>
      <c r="N12" s="23"/>
      <c r="O12" s="18" t="s">
        <v>32</v>
      </c>
      <c r="P12" s="18" t="s">
        <v>39</v>
      </c>
    </row>
    <row r="13" spans="1:16" ht="30" customHeight="1" x14ac:dyDescent="0.25">
      <c r="A13" s="1">
        <v>1</v>
      </c>
      <c r="B13" s="16" t="s">
        <v>16</v>
      </c>
      <c r="C13" s="8" t="s">
        <v>40</v>
      </c>
      <c r="D13" s="1" t="s">
        <v>17</v>
      </c>
      <c r="E13" s="2" t="s">
        <v>34</v>
      </c>
      <c r="F13" s="3">
        <v>0</v>
      </c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ht="30" customHeight="1" x14ac:dyDescent="0.25">
      <c r="A14" s="1">
        <f>A13+1</f>
        <v>2</v>
      </c>
      <c r="B14" s="16" t="s">
        <v>16</v>
      </c>
      <c r="C14" s="9" t="s">
        <v>41</v>
      </c>
      <c r="D14" s="1" t="s">
        <v>18</v>
      </c>
      <c r="E14" s="2" t="s">
        <v>34</v>
      </c>
      <c r="F14" s="3">
        <v>0</v>
      </c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ht="30" customHeight="1" x14ac:dyDescent="0.25">
      <c r="A15" s="1">
        <v>3</v>
      </c>
      <c r="B15" s="16" t="s">
        <v>16</v>
      </c>
      <c r="C15" s="9" t="s">
        <v>48</v>
      </c>
      <c r="D15" s="1" t="s">
        <v>19</v>
      </c>
      <c r="E15" s="2" t="s">
        <v>34</v>
      </c>
      <c r="F15" s="3">
        <v>0</v>
      </c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30" customHeight="1" x14ac:dyDescent="0.25">
      <c r="A16" s="1">
        <f t="shared" ref="A16:A25" si="0">A15+1</f>
        <v>4</v>
      </c>
      <c r="B16" s="16" t="s">
        <v>16</v>
      </c>
      <c r="C16" s="9" t="s">
        <v>49</v>
      </c>
      <c r="D16" s="1" t="s">
        <v>20</v>
      </c>
      <c r="E16" s="2" t="s">
        <v>34</v>
      </c>
      <c r="F16" s="15">
        <v>0</v>
      </c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1:16" ht="30" customHeight="1" x14ac:dyDescent="0.25">
      <c r="A17" s="1">
        <f t="shared" si="0"/>
        <v>5</v>
      </c>
      <c r="B17" s="2" t="s">
        <v>7</v>
      </c>
      <c r="C17" s="8" t="s">
        <v>43</v>
      </c>
      <c r="D17" s="1" t="s">
        <v>0</v>
      </c>
      <c r="E17" s="2" t="s">
        <v>34</v>
      </c>
      <c r="F17" s="15">
        <v>7500</v>
      </c>
      <c r="G17" s="15">
        <v>0</v>
      </c>
      <c r="H17" s="15">
        <v>4500</v>
      </c>
      <c r="I17" s="15"/>
      <c r="J17" s="15">
        <v>375</v>
      </c>
      <c r="K17" s="15"/>
      <c r="L17" s="15">
        <f>SUM(F17:K17)</f>
        <v>12375</v>
      </c>
      <c r="M17" s="15">
        <f>362.25+289.8</f>
        <v>652.04999999999995</v>
      </c>
      <c r="N17" s="15">
        <f t="shared" ref="N17:N27" si="1">+L17-M17</f>
        <v>11722.95</v>
      </c>
      <c r="O17" s="15"/>
      <c r="P17" s="15"/>
    </row>
    <row r="18" spans="1:16" ht="30" customHeight="1" x14ac:dyDescent="0.25">
      <c r="A18" s="1">
        <f t="shared" si="0"/>
        <v>6</v>
      </c>
      <c r="B18" s="2" t="s">
        <v>7</v>
      </c>
      <c r="C18" s="8" t="s">
        <v>6</v>
      </c>
      <c r="D18" s="1" t="s">
        <v>42</v>
      </c>
      <c r="E18" s="2" t="s">
        <v>34</v>
      </c>
      <c r="F18" s="15">
        <v>10966</v>
      </c>
      <c r="G18" s="15"/>
      <c r="H18" s="15">
        <v>1550</v>
      </c>
      <c r="I18" s="15">
        <v>0</v>
      </c>
      <c r="J18" s="15">
        <v>375</v>
      </c>
      <c r="K18" s="15"/>
      <c r="L18" s="15">
        <f t="shared" ref="L18:L27" si="2">SUM(F18:K18)</f>
        <v>12891</v>
      </c>
      <c r="M18" s="15">
        <f>529.66+499.19</f>
        <v>1028.8499999999999</v>
      </c>
      <c r="N18" s="15">
        <f t="shared" si="1"/>
        <v>11862.15</v>
      </c>
      <c r="O18" s="15"/>
      <c r="P18" s="15"/>
    </row>
    <row r="19" spans="1:16" ht="30" customHeight="1" x14ac:dyDescent="0.25">
      <c r="A19" s="1">
        <f t="shared" si="0"/>
        <v>7</v>
      </c>
      <c r="B19" s="2" t="s">
        <v>7</v>
      </c>
      <c r="C19" s="8" t="s">
        <v>44</v>
      </c>
      <c r="D19" s="8" t="s">
        <v>45</v>
      </c>
      <c r="E19" s="2" t="s">
        <v>34</v>
      </c>
      <c r="F19" s="15">
        <v>7500</v>
      </c>
      <c r="G19" s="15"/>
      <c r="H19" s="15">
        <v>1500</v>
      </c>
      <c r="I19" s="15">
        <v>0</v>
      </c>
      <c r="J19" s="15">
        <v>375</v>
      </c>
      <c r="K19" s="15"/>
      <c r="L19" s="15">
        <f t="shared" si="2"/>
        <v>9375</v>
      </c>
      <c r="M19" s="15">
        <f>362.25+126+265.29</f>
        <v>753.54</v>
      </c>
      <c r="N19" s="15">
        <f t="shared" si="1"/>
        <v>8621.4599999999991</v>
      </c>
      <c r="O19" s="15"/>
      <c r="P19" s="15"/>
    </row>
    <row r="20" spans="1:16" ht="30" customHeight="1" x14ac:dyDescent="0.25">
      <c r="A20" s="1">
        <f t="shared" si="0"/>
        <v>8</v>
      </c>
      <c r="B20" s="2" t="s">
        <v>7</v>
      </c>
      <c r="C20" s="8" t="s">
        <v>9</v>
      </c>
      <c r="D20" s="1" t="s">
        <v>2</v>
      </c>
      <c r="E20" s="2" t="s">
        <v>34</v>
      </c>
      <c r="F20" s="15">
        <v>4243</v>
      </c>
      <c r="G20" s="15"/>
      <c r="H20" s="15">
        <v>1550</v>
      </c>
      <c r="I20" s="15">
        <v>500</v>
      </c>
      <c r="J20" s="15">
        <v>0</v>
      </c>
      <c r="K20" s="15"/>
      <c r="L20" s="15">
        <f t="shared" si="2"/>
        <v>6293</v>
      </c>
      <c r="M20" s="15">
        <f>204.94+84.58+116.49</f>
        <v>406.01</v>
      </c>
      <c r="N20" s="15">
        <f t="shared" si="1"/>
        <v>5886.99</v>
      </c>
      <c r="O20" s="15"/>
      <c r="P20" s="15"/>
    </row>
    <row r="21" spans="1:16" ht="30" customHeight="1" x14ac:dyDescent="0.25">
      <c r="A21" s="1">
        <f t="shared" si="0"/>
        <v>9</v>
      </c>
      <c r="B21" s="2" t="s">
        <v>7</v>
      </c>
      <c r="C21" s="8" t="s">
        <v>46</v>
      </c>
      <c r="D21" s="1" t="s">
        <v>3</v>
      </c>
      <c r="E21" s="2" t="s">
        <v>34</v>
      </c>
      <c r="F21" s="15">
        <v>3020</v>
      </c>
      <c r="G21" s="15"/>
      <c r="H21" s="15">
        <v>1550</v>
      </c>
      <c r="I21" s="15">
        <v>0</v>
      </c>
      <c r="J21" s="15">
        <v>0</v>
      </c>
      <c r="K21" s="15"/>
      <c r="L21" s="15">
        <f t="shared" si="2"/>
        <v>4570</v>
      </c>
      <c r="M21" s="15">
        <f>145.87+61.42+72.03</f>
        <v>279.32000000000005</v>
      </c>
      <c r="N21" s="15">
        <f>+L21-M21</f>
        <v>4290.68</v>
      </c>
      <c r="O21" s="15"/>
      <c r="P21" s="15"/>
    </row>
    <row r="22" spans="1:16" ht="30" customHeight="1" x14ac:dyDescent="0.25">
      <c r="A22" s="1">
        <f t="shared" si="0"/>
        <v>10</v>
      </c>
      <c r="B22" s="2" t="s">
        <v>7</v>
      </c>
      <c r="C22" s="8" t="s">
        <v>47</v>
      </c>
      <c r="D22" s="1" t="s">
        <v>1</v>
      </c>
      <c r="E22" s="2" t="s">
        <v>34</v>
      </c>
      <c r="F22" s="15">
        <v>3531</v>
      </c>
      <c r="G22" s="15"/>
      <c r="H22" s="15">
        <v>1550</v>
      </c>
      <c r="I22" s="15">
        <v>0</v>
      </c>
      <c r="J22" s="15">
        <v>0</v>
      </c>
      <c r="K22" s="15"/>
      <c r="L22" s="15">
        <f t="shared" si="2"/>
        <v>5081</v>
      </c>
      <c r="M22" s="15">
        <f>175.88+58.68</f>
        <v>234.56</v>
      </c>
      <c r="N22" s="15">
        <f t="shared" si="1"/>
        <v>4846.4399999999996</v>
      </c>
      <c r="O22" s="15"/>
      <c r="P22" s="15"/>
    </row>
    <row r="23" spans="1:16" ht="30" customHeight="1" x14ac:dyDescent="0.25">
      <c r="A23" s="1">
        <f t="shared" si="0"/>
        <v>11</v>
      </c>
      <c r="B23" s="2" t="s">
        <v>7</v>
      </c>
      <c r="C23" s="8" t="s">
        <v>10</v>
      </c>
      <c r="D23" s="1" t="s">
        <v>56</v>
      </c>
      <c r="E23" s="2" t="s">
        <v>34</v>
      </c>
      <c r="F23" s="15">
        <v>5697</v>
      </c>
      <c r="G23" s="15"/>
      <c r="H23" s="15">
        <v>1800</v>
      </c>
      <c r="I23" s="15">
        <v>500</v>
      </c>
      <c r="J23" s="15"/>
      <c r="K23" s="15"/>
      <c r="L23" s="15">
        <f>SUM(F23:K23)</f>
        <v>7997</v>
      </c>
      <c r="M23" s="15">
        <f>275.17+361.89</f>
        <v>637.05999999999995</v>
      </c>
      <c r="N23" s="15">
        <f t="shared" si="1"/>
        <v>7359.9400000000005</v>
      </c>
      <c r="O23" s="15"/>
      <c r="P23" s="15"/>
    </row>
    <row r="24" spans="1:16" ht="30" customHeight="1" x14ac:dyDescent="0.25">
      <c r="A24" s="1">
        <f t="shared" si="0"/>
        <v>12</v>
      </c>
      <c r="B24" s="2" t="s">
        <v>7</v>
      </c>
      <c r="C24" s="8" t="s">
        <v>11</v>
      </c>
      <c r="D24" s="1" t="s">
        <v>4</v>
      </c>
      <c r="E24" s="2" t="s">
        <v>34</v>
      </c>
      <c r="F24" s="15">
        <v>7392</v>
      </c>
      <c r="G24" s="15"/>
      <c r="H24" s="15">
        <v>2300</v>
      </c>
      <c r="I24" s="15">
        <v>500</v>
      </c>
      <c r="J24" s="15"/>
      <c r="K24" s="15"/>
      <c r="L24" s="15">
        <f t="shared" si="2"/>
        <v>10192</v>
      </c>
      <c r="M24" s="15">
        <f>357.03+355.01</f>
        <v>712.04</v>
      </c>
      <c r="N24" s="15">
        <f t="shared" si="1"/>
        <v>9479.9599999999991</v>
      </c>
      <c r="O24" s="15"/>
      <c r="P24" s="15"/>
    </row>
    <row r="25" spans="1:16" ht="30" customHeight="1" x14ac:dyDescent="0.25">
      <c r="A25" s="1">
        <f t="shared" si="0"/>
        <v>13</v>
      </c>
      <c r="B25" s="2" t="s">
        <v>7</v>
      </c>
      <c r="C25" s="8" t="s">
        <v>54</v>
      </c>
      <c r="D25" s="1" t="s">
        <v>55</v>
      </c>
      <c r="E25" s="2" t="s">
        <v>34</v>
      </c>
      <c r="F25" s="15">
        <v>6750</v>
      </c>
      <c r="G25" s="15"/>
      <c r="H25" s="15">
        <v>250</v>
      </c>
      <c r="I25" s="15">
        <v>0</v>
      </c>
      <c r="J25" s="15"/>
      <c r="K25" s="15"/>
      <c r="L25" s="15">
        <f t="shared" si="2"/>
        <v>7000</v>
      </c>
      <c r="M25" s="15">
        <f>326.03</f>
        <v>326.02999999999997</v>
      </c>
      <c r="N25" s="15">
        <f t="shared" si="1"/>
        <v>6673.97</v>
      </c>
      <c r="O25" s="15"/>
      <c r="P25" s="15"/>
    </row>
    <row r="26" spans="1:16" ht="30" customHeight="1" x14ac:dyDescent="0.25">
      <c r="A26" s="1">
        <v>15</v>
      </c>
      <c r="B26" s="2" t="s">
        <v>7</v>
      </c>
      <c r="C26" s="8" t="s">
        <v>12</v>
      </c>
      <c r="D26" s="1" t="s">
        <v>5</v>
      </c>
      <c r="E26" s="2" t="s">
        <v>34</v>
      </c>
      <c r="F26" s="15">
        <v>3166.38</v>
      </c>
      <c r="G26" s="15"/>
      <c r="H26" s="15">
        <v>1550</v>
      </c>
      <c r="I26" s="15">
        <v>0</v>
      </c>
      <c r="J26" s="15"/>
      <c r="K26" s="15"/>
      <c r="L26" s="15">
        <f t="shared" si="2"/>
        <v>4716.38</v>
      </c>
      <c r="M26" s="15">
        <f>152.94+56.28</f>
        <v>209.22</v>
      </c>
      <c r="N26" s="15">
        <f t="shared" si="1"/>
        <v>4507.16</v>
      </c>
      <c r="O26" s="15"/>
      <c r="P26" s="15"/>
    </row>
    <row r="27" spans="1:16" ht="30" customHeight="1" x14ac:dyDescent="0.25">
      <c r="A27" s="1">
        <v>16</v>
      </c>
      <c r="B27" s="2">
        <v>11</v>
      </c>
      <c r="C27" s="8" t="s">
        <v>50</v>
      </c>
      <c r="D27" s="1" t="s">
        <v>51</v>
      </c>
      <c r="E27" s="2" t="s">
        <v>34</v>
      </c>
      <c r="F27" s="15">
        <v>3166.38</v>
      </c>
      <c r="G27" s="15"/>
      <c r="H27" s="15">
        <v>1449</v>
      </c>
      <c r="I27" s="15"/>
      <c r="J27" s="15"/>
      <c r="K27" s="15"/>
      <c r="L27" s="15">
        <f t="shared" si="2"/>
        <v>4615.38</v>
      </c>
      <c r="M27" s="15">
        <f>152.94+34.98</f>
        <v>187.92</v>
      </c>
      <c r="N27" s="15">
        <f t="shared" si="1"/>
        <v>4427.46</v>
      </c>
      <c r="O27" s="15"/>
      <c r="P27" s="15"/>
    </row>
    <row r="28" spans="1:16" ht="30" customHeight="1" x14ac:dyDescent="0.25">
      <c r="A28" s="1">
        <v>17</v>
      </c>
      <c r="B28" s="2">
        <v>184</v>
      </c>
      <c r="C28" s="8" t="s">
        <v>62</v>
      </c>
      <c r="D28" s="8" t="s">
        <v>13</v>
      </c>
      <c r="E28" s="2" t="s">
        <v>34</v>
      </c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1:16" ht="30" customHeight="1" x14ac:dyDescent="0.25">
      <c r="A29" s="1">
        <v>18</v>
      </c>
      <c r="B29" s="2">
        <v>183</v>
      </c>
      <c r="C29" s="8" t="s">
        <v>52</v>
      </c>
      <c r="D29" s="1" t="s">
        <v>53</v>
      </c>
      <c r="E29" s="2" t="s">
        <v>34</v>
      </c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1" spans="1:16" ht="15" customHeight="1" x14ac:dyDescent="0.25"/>
    <row r="33" spans="1:16" s="6" customFormat="1" ht="0.95" customHeight="1" x14ac:dyDescent="0.25">
      <c r="A33"/>
      <c r="B3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20"/>
    </row>
    <row r="34" spans="1:16" x14ac:dyDescent="0.25">
      <c r="C34" s="7" t="s">
        <v>14</v>
      </c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6" x14ac:dyDescent="0.25">
      <c r="B35" s="5"/>
      <c r="C35" s="7" t="s">
        <v>58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</row>
  </sheetData>
  <mergeCells count="14">
    <mergeCell ref="G11:G12"/>
    <mergeCell ref="A11:A12"/>
    <mergeCell ref="B11:B12"/>
    <mergeCell ref="D11:D12"/>
    <mergeCell ref="E11:E12"/>
    <mergeCell ref="F11:F12"/>
    <mergeCell ref="N11:N12"/>
    <mergeCell ref="O11:P11"/>
    <mergeCell ref="H11:H12"/>
    <mergeCell ref="I11:I12"/>
    <mergeCell ref="J11:J12"/>
    <mergeCell ref="K11:K12"/>
    <mergeCell ref="L11:L12"/>
    <mergeCell ref="M11:M12"/>
  </mergeCells>
  <printOptions horizontalCentered="1"/>
  <pageMargins left="0.19685039370078741" right="0.19685039370078741" top="0.39370078740157483" bottom="0.19685039370078741" header="0.19685039370078741" footer="0.19685039370078741"/>
  <pageSetup scale="5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BF54D-546E-4499-9E0C-91151E315989}">
  <dimension ref="A1:P35"/>
  <sheetViews>
    <sheetView showGridLines="0" topLeftCell="A8" zoomScale="85" zoomScaleNormal="85" workbookViewId="0">
      <selection activeCell="A16" sqref="A16"/>
    </sheetView>
  </sheetViews>
  <sheetFormatPr baseColWidth="10" defaultRowHeight="15" x14ac:dyDescent="0.25"/>
  <cols>
    <col min="1" max="1" width="3.28515625" customWidth="1"/>
    <col min="2" max="2" width="8.7109375" customWidth="1"/>
    <col min="3" max="3" width="25.7109375" customWidth="1"/>
    <col min="4" max="4" width="26.7109375" customWidth="1"/>
    <col min="5" max="5" width="8.7109375" customWidth="1"/>
    <col min="6" max="6" width="12.7109375" customWidth="1"/>
    <col min="7" max="10" width="11.7109375" customWidth="1"/>
    <col min="11" max="11" width="12.28515625" customWidth="1"/>
    <col min="12" max="12" width="12.7109375" customWidth="1"/>
    <col min="13" max="13" width="12.28515625" customWidth="1"/>
    <col min="14" max="16" width="12.7109375" customWidth="1"/>
  </cols>
  <sheetData>
    <row r="1" spans="1:16" ht="18.75" x14ac:dyDescent="0.3">
      <c r="A1" s="10"/>
      <c r="B1" s="10"/>
      <c r="C1" s="10"/>
      <c r="D1" s="10"/>
      <c r="E1" s="10"/>
      <c r="F1" s="10"/>
      <c r="G1" s="11"/>
      <c r="H1" s="10"/>
      <c r="I1" s="10"/>
      <c r="J1" s="10"/>
      <c r="K1" s="10"/>
      <c r="L1" s="10"/>
      <c r="M1" s="10"/>
      <c r="N1" s="10"/>
      <c r="O1" s="10"/>
      <c r="P1" s="10"/>
    </row>
    <row r="2" spans="1:16" ht="18.75" x14ac:dyDescent="0.3">
      <c r="A2" s="10"/>
      <c r="B2" s="10"/>
      <c r="C2" s="10"/>
      <c r="D2" s="10"/>
      <c r="E2" s="10"/>
      <c r="F2" s="10"/>
      <c r="G2" s="11"/>
      <c r="H2" s="10"/>
      <c r="I2" s="10"/>
      <c r="J2" s="10"/>
      <c r="K2" s="10"/>
      <c r="L2" s="10"/>
      <c r="M2" s="10"/>
      <c r="N2" s="10"/>
      <c r="O2" s="10"/>
      <c r="P2" s="10"/>
    </row>
    <row r="3" spans="1:16" ht="18.75" x14ac:dyDescent="0.3">
      <c r="A3" s="10"/>
      <c r="B3" s="10"/>
      <c r="C3" s="10"/>
      <c r="D3" s="10"/>
      <c r="E3" s="10"/>
      <c r="F3" s="10"/>
      <c r="G3" s="11"/>
      <c r="H3" s="10"/>
      <c r="I3" s="10"/>
      <c r="J3" s="10"/>
      <c r="K3" s="10"/>
      <c r="L3" s="10"/>
      <c r="M3" s="10"/>
      <c r="N3" s="10"/>
      <c r="O3" s="10"/>
      <c r="P3" s="10"/>
    </row>
    <row r="4" spans="1:16" ht="18.75" x14ac:dyDescent="0.3">
      <c r="A4" s="10"/>
      <c r="B4" s="10"/>
      <c r="C4" s="10"/>
      <c r="D4" s="10"/>
      <c r="E4" s="10"/>
      <c r="F4" s="10"/>
      <c r="G4" s="11"/>
      <c r="H4" s="10"/>
      <c r="I4" s="10"/>
      <c r="J4" s="10"/>
      <c r="K4" s="10"/>
      <c r="L4" s="10"/>
      <c r="M4" s="10"/>
      <c r="N4" s="10"/>
      <c r="O4" s="10"/>
      <c r="P4" s="10"/>
    </row>
    <row r="5" spans="1:16" ht="18.75" x14ac:dyDescent="0.3">
      <c r="A5" s="10"/>
      <c r="B5" s="10"/>
      <c r="C5" s="10"/>
      <c r="D5" s="10"/>
      <c r="E5" s="10"/>
      <c r="F5" s="10"/>
      <c r="G5" s="11"/>
      <c r="H5" s="10"/>
      <c r="I5" s="10"/>
      <c r="J5" s="10"/>
      <c r="K5" s="10"/>
      <c r="L5" s="10"/>
      <c r="M5" s="10"/>
      <c r="N5" s="10"/>
      <c r="O5" s="10"/>
      <c r="P5" s="10"/>
    </row>
    <row r="6" spans="1:16" ht="18.75" x14ac:dyDescent="0.3">
      <c r="A6" s="10"/>
      <c r="B6" s="10"/>
      <c r="C6" s="10"/>
      <c r="D6" s="10"/>
      <c r="E6" s="10"/>
      <c r="F6" s="10"/>
      <c r="G6" s="21"/>
      <c r="H6" s="10"/>
      <c r="I6" s="10"/>
      <c r="J6" s="10"/>
      <c r="K6" s="10"/>
      <c r="L6" s="10"/>
      <c r="M6" s="10"/>
      <c r="N6" s="10"/>
      <c r="O6" s="10"/>
      <c r="P6" s="10"/>
    </row>
    <row r="7" spans="1:16" ht="18.75" x14ac:dyDescent="0.3">
      <c r="A7" s="10" t="s">
        <v>8</v>
      </c>
      <c r="B7" s="10"/>
      <c r="C7" s="10"/>
      <c r="D7" s="10"/>
      <c r="E7" s="10"/>
      <c r="F7" s="10"/>
      <c r="G7" s="11"/>
      <c r="H7" s="10"/>
      <c r="I7" s="10"/>
      <c r="J7" s="10"/>
      <c r="K7" s="10"/>
      <c r="L7" s="10"/>
      <c r="M7" s="10"/>
      <c r="N7" s="10"/>
      <c r="O7" s="10"/>
      <c r="P7" s="10"/>
    </row>
    <row r="8" spans="1:16" ht="18.75" x14ac:dyDescent="0.3">
      <c r="A8" s="10" t="s">
        <v>60</v>
      </c>
      <c r="B8" s="10"/>
      <c r="C8" s="10"/>
      <c r="D8" s="10"/>
      <c r="E8" s="10"/>
      <c r="F8" s="10"/>
      <c r="G8" s="11"/>
      <c r="H8" s="10"/>
      <c r="I8" s="10"/>
      <c r="J8" s="10"/>
      <c r="K8" s="10"/>
      <c r="L8" s="10"/>
      <c r="M8" s="10"/>
      <c r="N8" s="10"/>
      <c r="O8" s="10"/>
      <c r="P8" s="10"/>
    </row>
    <row r="9" spans="1:16" ht="15.75" x14ac:dyDescent="0.25">
      <c r="A9" s="17" t="s">
        <v>15</v>
      </c>
      <c r="B9" s="4"/>
      <c r="C9" s="4"/>
      <c r="D9" s="4"/>
      <c r="E9" s="4"/>
      <c r="F9" s="4"/>
      <c r="G9" s="12"/>
      <c r="H9" s="4"/>
      <c r="I9" s="4"/>
      <c r="J9" s="4"/>
      <c r="K9" s="4"/>
      <c r="L9" s="4"/>
      <c r="M9" s="4"/>
      <c r="N9" s="4"/>
      <c r="O9" s="4"/>
      <c r="P9" s="4"/>
    </row>
    <row r="10" spans="1:16" ht="15" customHeight="1" x14ac:dyDescent="0.25">
      <c r="A10" s="14"/>
      <c r="B10" s="4"/>
      <c r="C10" s="4"/>
      <c r="D10" s="12"/>
      <c r="E10" s="4"/>
      <c r="F10" s="4"/>
      <c r="G10" s="4"/>
      <c r="H10" s="4"/>
      <c r="I10" s="4"/>
      <c r="J10" s="4"/>
      <c r="K10" s="4"/>
      <c r="L10" s="4"/>
      <c r="M10" s="4"/>
    </row>
    <row r="11" spans="1:16" ht="30" customHeight="1" x14ac:dyDescent="0.25">
      <c r="A11" s="22" t="s">
        <v>21</v>
      </c>
      <c r="B11" s="23" t="s">
        <v>22</v>
      </c>
      <c r="C11" s="19" t="s">
        <v>23</v>
      </c>
      <c r="D11" s="26" t="s">
        <v>24</v>
      </c>
      <c r="E11" s="27" t="s">
        <v>25</v>
      </c>
      <c r="F11" s="22" t="s">
        <v>35</v>
      </c>
      <c r="G11" s="22" t="s">
        <v>36</v>
      </c>
      <c r="H11" s="22" t="s">
        <v>38</v>
      </c>
      <c r="I11" s="22" t="s">
        <v>37</v>
      </c>
      <c r="J11" s="22" t="s">
        <v>26</v>
      </c>
      <c r="K11" s="22" t="s">
        <v>27</v>
      </c>
      <c r="L11" s="22" t="s">
        <v>28</v>
      </c>
      <c r="M11" s="22" t="s">
        <v>29</v>
      </c>
      <c r="N11" s="22" t="s">
        <v>30</v>
      </c>
      <c r="O11" s="24" t="s">
        <v>31</v>
      </c>
      <c r="P11" s="25"/>
    </row>
    <row r="12" spans="1:16" ht="48" customHeight="1" x14ac:dyDescent="0.25">
      <c r="A12" s="22"/>
      <c r="B12" s="23"/>
      <c r="C12" s="19" t="s">
        <v>33</v>
      </c>
      <c r="D12" s="26"/>
      <c r="E12" s="28"/>
      <c r="F12" s="22"/>
      <c r="G12" s="22"/>
      <c r="H12" s="22"/>
      <c r="I12" s="23"/>
      <c r="J12" s="22"/>
      <c r="K12" s="23"/>
      <c r="L12" s="23"/>
      <c r="M12" s="23"/>
      <c r="N12" s="23"/>
      <c r="O12" s="18" t="s">
        <v>32</v>
      </c>
      <c r="P12" s="18" t="s">
        <v>39</v>
      </c>
    </row>
    <row r="13" spans="1:16" ht="30" customHeight="1" x14ac:dyDescent="0.25">
      <c r="A13" s="1">
        <v>1</v>
      </c>
      <c r="B13" s="16" t="s">
        <v>16</v>
      </c>
      <c r="C13" s="8" t="s">
        <v>40</v>
      </c>
      <c r="D13" s="1" t="s">
        <v>17</v>
      </c>
      <c r="E13" s="2" t="s">
        <v>34</v>
      </c>
      <c r="F13" s="3">
        <v>0</v>
      </c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ht="30" customHeight="1" x14ac:dyDescent="0.25">
      <c r="A14" s="1">
        <f>A13+1</f>
        <v>2</v>
      </c>
      <c r="B14" s="16" t="s">
        <v>16</v>
      </c>
      <c r="C14" s="9" t="s">
        <v>41</v>
      </c>
      <c r="D14" s="1" t="s">
        <v>18</v>
      </c>
      <c r="E14" s="2" t="s">
        <v>34</v>
      </c>
      <c r="F14" s="3">
        <v>0</v>
      </c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ht="30" customHeight="1" x14ac:dyDescent="0.25">
      <c r="A15" s="1">
        <v>3</v>
      </c>
      <c r="B15" s="16" t="s">
        <v>16</v>
      </c>
      <c r="C15" s="9" t="s">
        <v>48</v>
      </c>
      <c r="D15" s="1" t="s">
        <v>19</v>
      </c>
      <c r="E15" s="2" t="s">
        <v>34</v>
      </c>
      <c r="F15" s="3">
        <v>0</v>
      </c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30" customHeight="1" x14ac:dyDescent="0.25">
      <c r="A16" s="1">
        <f t="shared" ref="A16:A25" si="0">A15+1</f>
        <v>4</v>
      </c>
      <c r="B16" s="16" t="s">
        <v>16</v>
      </c>
      <c r="C16" s="9" t="s">
        <v>49</v>
      </c>
      <c r="D16" s="1" t="s">
        <v>20</v>
      </c>
      <c r="E16" s="2" t="s">
        <v>34</v>
      </c>
      <c r="F16" s="15">
        <v>0</v>
      </c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1:16" ht="30" customHeight="1" x14ac:dyDescent="0.25">
      <c r="A17" s="1">
        <f t="shared" si="0"/>
        <v>5</v>
      </c>
      <c r="B17" s="2" t="s">
        <v>7</v>
      </c>
      <c r="C17" s="8" t="s">
        <v>43</v>
      </c>
      <c r="D17" s="1" t="s">
        <v>0</v>
      </c>
      <c r="E17" s="2" t="s">
        <v>34</v>
      </c>
      <c r="F17" s="15">
        <v>7500</v>
      </c>
      <c r="G17" s="15">
        <v>0</v>
      </c>
      <c r="H17" s="15">
        <v>4500</v>
      </c>
      <c r="I17" s="15"/>
      <c r="J17" s="15">
        <v>375</v>
      </c>
      <c r="K17" s="15"/>
      <c r="L17" s="15">
        <f>SUM(F17:K17)</f>
        <v>12375</v>
      </c>
      <c r="M17" s="15">
        <f>362.25+289.81</f>
        <v>652.05999999999995</v>
      </c>
      <c r="N17" s="15">
        <f t="shared" ref="N17:N27" si="1">+L17-M17</f>
        <v>11722.94</v>
      </c>
      <c r="O17" s="15"/>
      <c r="P17" s="15"/>
    </row>
    <row r="18" spans="1:16" ht="30" customHeight="1" x14ac:dyDescent="0.25">
      <c r="A18" s="1">
        <f t="shared" si="0"/>
        <v>6</v>
      </c>
      <c r="B18" s="2" t="s">
        <v>7</v>
      </c>
      <c r="C18" s="8" t="s">
        <v>6</v>
      </c>
      <c r="D18" s="1" t="s">
        <v>42</v>
      </c>
      <c r="E18" s="2" t="s">
        <v>34</v>
      </c>
      <c r="F18" s="15">
        <v>10966</v>
      </c>
      <c r="G18" s="15">
        <v>1096.56</v>
      </c>
      <c r="H18" s="15">
        <v>1550</v>
      </c>
      <c r="I18" s="15">
        <v>0</v>
      </c>
      <c r="J18" s="15">
        <v>375</v>
      </c>
      <c r="K18" s="15"/>
      <c r="L18" s="15">
        <f t="shared" ref="L18:L27" si="2">SUM(F18:K18)</f>
        <v>13987.56</v>
      </c>
      <c r="M18" s="15">
        <f>582.62+437.25</f>
        <v>1019.87</v>
      </c>
      <c r="N18" s="15">
        <f t="shared" si="1"/>
        <v>12967.689999999999</v>
      </c>
      <c r="O18" s="15"/>
      <c r="P18" s="15"/>
    </row>
    <row r="19" spans="1:16" ht="30" customHeight="1" x14ac:dyDescent="0.25">
      <c r="A19" s="1">
        <f t="shared" si="0"/>
        <v>7</v>
      </c>
      <c r="B19" s="2" t="s">
        <v>7</v>
      </c>
      <c r="C19" s="8" t="s">
        <v>44</v>
      </c>
      <c r="D19" s="8" t="s">
        <v>45</v>
      </c>
      <c r="E19" s="2" t="s">
        <v>34</v>
      </c>
      <c r="F19" s="15">
        <v>7500</v>
      </c>
      <c r="G19" s="15"/>
      <c r="H19" s="15">
        <v>1500</v>
      </c>
      <c r="I19" s="15">
        <v>0</v>
      </c>
      <c r="J19" s="15">
        <v>375</v>
      </c>
      <c r="K19" s="15"/>
      <c r="L19" s="15">
        <f t="shared" si="2"/>
        <v>9375</v>
      </c>
      <c r="M19" s="15">
        <f>362.25+126+257.21</f>
        <v>745.46</v>
      </c>
      <c r="N19" s="15">
        <f t="shared" si="1"/>
        <v>8629.5400000000009</v>
      </c>
      <c r="O19" s="15"/>
      <c r="P19" s="15"/>
    </row>
    <row r="20" spans="1:16" ht="30" customHeight="1" x14ac:dyDescent="0.25">
      <c r="A20" s="1">
        <f t="shared" si="0"/>
        <v>8</v>
      </c>
      <c r="B20" s="2" t="s">
        <v>7</v>
      </c>
      <c r="C20" s="8" t="s">
        <v>9</v>
      </c>
      <c r="D20" s="1" t="s">
        <v>2</v>
      </c>
      <c r="E20" s="2" t="s">
        <v>34</v>
      </c>
      <c r="F20" s="15">
        <v>4243</v>
      </c>
      <c r="G20" s="15"/>
      <c r="H20" s="15">
        <v>1550</v>
      </c>
      <c r="I20" s="15">
        <v>500</v>
      </c>
      <c r="J20" s="15">
        <v>0</v>
      </c>
      <c r="K20" s="15"/>
      <c r="L20" s="15">
        <f t="shared" si="2"/>
        <v>6293</v>
      </c>
      <c r="M20" s="15">
        <f>204.94+84.58+116.49</f>
        <v>406.01</v>
      </c>
      <c r="N20" s="15">
        <f t="shared" si="1"/>
        <v>5886.99</v>
      </c>
      <c r="O20" s="15"/>
      <c r="P20" s="15"/>
    </row>
    <row r="21" spans="1:16" ht="30" customHeight="1" x14ac:dyDescent="0.25">
      <c r="A21" s="1">
        <f t="shared" si="0"/>
        <v>9</v>
      </c>
      <c r="B21" s="2" t="s">
        <v>7</v>
      </c>
      <c r="C21" s="8" t="s">
        <v>46</v>
      </c>
      <c r="D21" s="1" t="s">
        <v>3</v>
      </c>
      <c r="E21" s="2" t="s">
        <v>34</v>
      </c>
      <c r="F21" s="15">
        <v>3166.38</v>
      </c>
      <c r="G21" s="15">
        <v>468.42</v>
      </c>
      <c r="H21" s="15">
        <v>1550</v>
      </c>
      <c r="I21" s="15">
        <v>0</v>
      </c>
      <c r="J21" s="15">
        <v>0</v>
      </c>
      <c r="K21" s="15"/>
      <c r="L21" s="15">
        <f t="shared" si="2"/>
        <v>5184.8</v>
      </c>
      <c r="M21" s="15">
        <f>145.87+61.42+33.58</f>
        <v>240.87</v>
      </c>
      <c r="N21" s="15">
        <f>+L21-M21</f>
        <v>4943.93</v>
      </c>
      <c r="O21" s="15"/>
      <c r="P21" s="15"/>
    </row>
    <row r="22" spans="1:16" ht="30" customHeight="1" x14ac:dyDescent="0.25">
      <c r="A22" s="1">
        <f t="shared" si="0"/>
        <v>10</v>
      </c>
      <c r="B22" s="2" t="s">
        <v>7</v>
      </c>
      <c r="C22" s="8" t="s">
        <v>47</v>
      </c>
      <c r="D22" s="1" t="s">
        <v>1</v>
      </c>
      <c r="E22" s="2" t="s">
        <v>34</v>
      </c>
      <c r="F22" s="15">
        <v>3531</v>
      </c>
      <c r="G22" s="15"/>
      <c r="H22" s="15">
        <v>1550</v>
      </c>
      <c r="I22" s="15">
        <v>0</v>
      </c>
      <c r="J22" s="15">
        <v>0</v>
      </c>
      <c r="K22" s="15"/>
      <c r="L22" s="15">
        <f t="shared" si="2"/>
        <v>5081</v>
      </c>
      <c r="M22" s="15">
        <f>175.88+52.92</f>
        <v>228.8</v>
      </c>
      <c r="N22" s="15">
        <f t="shared" si="1"/>
        <v>4852.2</v>
      </c>
      <c r="O22" s="15"/>
      <c r="P22" s="15"/>
    </row>
    <row r="23" spans="1:16" ht="30" customHeight="1" x14ac:dyDescent="0.25">
      <c r="A23" s="1">
        <f t="shared" si="0"/>
        <v>11</v>
      </c>
      <c r="B23" s="2" t="s">
        <v>7</v>
      </c>
      <c r="C23" s="8" t="s">
        <v>10</v>
      </c>
      <c r="D23" s="1" t="s">
        <v>56</v>
      </c>
      <c r="E23" s="2" t="s">
        <v>34</v>
      </c>
      <c r="F23" s="15">
        <v>5697</v>
      </c>
      <c r="G23" s="15">
        <v>1365.05</v>
      </c>
      <c r="H23" s="15">
        <v>1800</v>
      </c>
      <c r="I23" s="15">
        <v>500</v>
      </c>
      <c r="J23" s="15"/>
      <c r="K23" s="15"/>
      <c r="L23" s="15">
        <f>SUM(F23:K23)</f>
        <v>9362.0499999999993</v>
      </c>
      <c r="M23" s="15">
        <f>341.1+206.41</f>
        <v>547.51</v>
      </c>
      <c r="N23" s="15">
        <f t="shared" si="1"/>
        <v>8814.5399999999991</v>
      </c>
      <c r="O23" s="15"/>
      <c r="P23" s="15"/>
    </row>
    <row r="24" spans="1:16" ht="30" customHeight="1" x14ac:dyDescent="0.25">
      <c r="A24" s="1">
        <f t="shared" si="0"/>
        <v>12</v>
      </c>
      <c r="B24" s="2" t="s">
        <v>7</v>
      </c>
      <c r="C24" s="8" t="s">
        <v>11</v>
      </c>
      <c r="D24" s="1" t="s">
        <v>4</v>
      </c>
      <c r="E24" s="2" t="s">
        <v>34</v>
      </c>
      <c r="F24" s="15">
        <v>7392</v>
      </c>
      <c r="G24" s="15">
        <v>739.2</v>
      </c>
      <c r="H24" s="15">
        <v>2300</v>
      </c>
      <c r="I24" s="15">
        <v>500</v>
      </c>
      <c r="J24" s="15"/>
      <c r="K24" s="15"/>
      <c r="L24" s="15">
        <f t="shared" si="2"/>
        <v>10931.2</v>
      </c>
      <c r="M24" s="15">
        <f>392.74+314.15</f>
        <v>706.89</v>
      </c>
      <c r="N24" s="15">
        <f t="shared" si="1"/>
        <v>10224.310000000001</v>
      </c>
      <c r="O24" s="15"/>
      <c r="P24" s="15"/>
    </row>
    <row r="25" spans="1:16" ht="30" customHeight="1" x14ac:dyDescent="0.25">
      <c r="A25" s="1">
        <f t="shared" si="0"/>
        <v>13</v>
      </c>
      <c r="B25" s="2" t="s">
        <v>7</v>
      </c>
      <c r="C25" s="8" t="s">
        <v>54</v>
      </c>
      <c r="D25" s="1" t="s">
        <v>55</v>
      </c>
      <c r="E25" s="2" t="s">
        <v>34</v>
      </c>
      <c r="F25" s="15">
        <v>6750</v>
      </c>
      <c r="G25" s="15"/>
      <c r="H25" s="15">
        <v>250</v>
      </c>
      <c r="I25" s="15">
        <v>0</v>
      </c>
      <c r="J25" s="15"/>
      <c r="K25" s="15"/>
      <c r="L25" s="15">
        <f t="shared" si="2"/>
        <v>7000</v>
      </c>
      <c r="M25" s="15">
        <f>326.02+160.44</f>
        <v>486.46</v>
      </c>
      <c r="N25" s="15">
        <f t="shared" si="1"/>
        <v>6513.54</v>
      </c>
      <c r="O25" s="15"/>
      <c r="P25" s="15"/>
    </row>
    <row r="26" spans="1:16" ht="30" customHeight="1" x14ac:dyDescent="0.25">
      <c r="A26" s="1">
        <v>15</v>
      </c>
      <c r="B26" s="2" t="s">
        <v>7</v>
      </c>
      <c r="C26" s="8" t="s">
        <v>12</v>
      </c>
      <c r="D26" s="1" t="s">
        <v>5</v>
      </c>
      <c r="E26" s="2" t="s">
        <v>34</v>
      </c>
      <c r="F26" s="15">
        <v>3166.38</v>
      </c>
      <c r="G26" s="15"/>
      <c r="H26" s="15">
        <v>1550</v>
      </c>
      <c r="I26" s="15">
        <v>0</v>
      </c>
      <c r="J26" s="15"/>
      <c r="K26" s="15"/>
      <c r="L26" s="15">
        <f t="shared" si="2"/>
        <v>4716.38</v>
      </c>
      <c r="M26" s="15">
        <f>152.94+28.09</f>
        <v>181.03</v>
      </c>
      <c r="N26" s="15">
        <f t="shared" si="1"/>
        <v>4535.3500000000004</v>
      </c>
      <c r="O26" s="15"/>
      <c r="P26" s="15"/>
    </row>
    <row r="27" spans="1:16" ht="30" customHeight="1" x14ac:dyDescent="0.25">
      <c r="A27" s="1">
        <v>16</v>
      </c>
      <c r="B27" s="2">
        <v>11</v>
      </c>
      <c r="C27" s="8" t="s">
        <v>50</v>
      </c>
      <c r="D27" s="1" t="s">
        <v>51</v>
      </c>
      <c r="E27" s="2" t="s">
        <v>34</v>
      </c>
      <c r="F27" s="15">
        <v>3166.38</v>
      </c>
      <c r="G27" s="15"/>
      <c r="H27" s="15">
        <v>1449</v>
      </c>
      <c r="I27" s="15"/>
      <c r="J27" s="15"/>
      <c r="K27" s="15"/>
      <c r="L27" s="15">
        <f t="shared" si="2"/>
        <v>4615.38</v>
      </c>
      <c r="M27" s="15">
        <f>152.94+22.72</f>
        <v>175.66</v>
      </c>
      <c r="N27" s="15">
        <f t="shared" si="1"/>
        <v>4439.72</v>
      </c>
      <c r="O27" s="15"/>
      <c r="P27" s="15"/>
    </row>
    <row r="28" spans="1:16" ht="30" customHeight="1" x14ac:dyDescent="0.25">
      <c r="A28" s="1">
        <v>17</v>
      </c>
      <c r="B28" s="2">
        <v>184</v>
      </c>
      <c r="C28" s="8" t="s">
        <v>61</v>
      </c>
      <c r="D28" s="8" t="s">
        <v>13</v>
      </c>
      <c r="E28" s="2" t="s">
        <v>34</v>
      </c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1:16" ht="30" customHeight="1" x14ac:dyDescent="0.25">
      <c r="A29" s="1">
        <v>18</v>
      </c>
      <c r="B29" s="2">
        <v>183</v>
      </c>
      <c r="C29" s="8" t="s">
        <v>52</v>
      </c>
      <c r="D29" s="1" t="s">
        <v>53</v>
      </c>
      <c r="E29" s="2" t="s">
        <v>34</v>
      </c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1" spans="1:16" ht="15" customHeight="1" x14ac:dyDescent="0.25"/>
    <row r="33" spans="1:16" s="6" customFormat="1" ht="0.95" customHeight="1" x14ac:dyDescent="0.25">
      <c r="A33"/>
      <c r="B3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20"/>
    </row>
    <row r="34" spans="1:16" x14ac:dyDescent="0.25">
      <c r="C34" s="7" t="s">
        <v>14</v>
      </c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6" x14ac:dyDescent="0.25">
      <c r="B35" s="5"/>
      <c r="C35" s="7" t="s">
        <v>58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</row>
  </sheetData>
  <mergeCells count="14">
    <mergeCell ref="N11:N12"/>
    <mergeCell ref="O11:P11"/>
    <mergeCell ref="H11:H12"/>
    <mergeCell ref="I11:I12"/>
    <mergeCell ref="J11:J12"/>
    <mergeCell ref="K11:K12"/>
    <mergeCell ref="L11:L12"/>
    <mergeCell ref="M11:M12"/>
    <mergeCell ref="G11:G12"/>
    <mergeCell ref="A11:A12"/>
    <mergeCell ref="B11:B12"/>
    <mergeCell ref="D11:D12"/>
    <mergeCell ref="E11:E12"/>
    <mergeCell ref="F11:F12"/>
  </mergeCells>
  <printOptions horizontalCentered="1"/>
  <pageMargins left="0.19685039370078741" right="0.19685039370078741" top="0.39370078740157483" bottom="0.19685039370078741" header="0.19685039370078741" footer="0.19685039370078741"/>
  <pageSetup scale="5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50889-4DB7-4BE2-B939-25BEF192FD06}">
  <dimension ref="A1:P36"/>
  <sheetViews>
    <sheetView showGridLines="0" topLeftCell="A8" zoomScale="85" zoomScaleNormal="85" workbookViewId="0">
      <selection activeCell="A16" sqref="A16"/>
    </sheetView>
  </sheetViews>
  <sheetFormatPr baseColWidth="10" defaultRowHeight="15" x14ac:dyDescent="0.25"/>
  <cols>
    <col min="1" max="1" width="3.28515625" customWidth="1"/>
    <col min="2" max="2" width="8.7109375" customWidth="1"/>
    <col min="3" max="3" width="25.7109375" customWidth="1"/>
    <col min="4" max="4" width="26.7109375" customWidth="1"/>
    <col min="5" max="5" width="8.7109375" customWidth="1"/>
    <col min="6" max="6" width="12.7109375" customWidth="1"/>
    <col min="7" max="10" width="11.7109375" customWidth="1"/>
    <col min="11" max="11" width="12.28515625" customWidth="1"/>
    <col min="12" max="12" width="12.7109375" customWidth="1"/>
    <col min="13" max="13" width="12.28515625" customWidth="1"/>
    <col min="14" max="16" width="12.7109375" customWidth="1"/>
  </cols>
  <sheetData>
    <row r="1" spans="1:16" ht="18.75" x14ac:dyDescent="0.3">
      <c r="A1" s="10"/>
      <c r="B1" s="10"/>
      <c r="C1" s="10"/>
      <c r="D1" s="10"/>
      <c r="E1" s="10"/>
      <c r="F1" s="10"/>
      <c r="G1" s="11"/>
      <c r="H1" s="10"/>
      <c r="I1" s="10"/>
      <c r="J1" s="10"/>
      <c r="K1" s="10"/>
      <c r="L1" s="10"/>
      <c r="M1" s="10"/>
      <c r="N1" s="10"/>
      <c r="O1" s="10"/>
      <c r="P1" s="10"/>
    </row>
    <row r="2" spans="1:16" ht="18.75" x14ac:dyDescent="0.3">
      <c r="A2" s="10"/>
      <c r="B2" s="10"/>
      <c r="C2" s="10"/>
      <c r="D2" s="10"/>
      <c r="E2" s="10"/>
      <c r="F2" s="10"/>
      <c r="G2" s="11"/>
      <c r="H2" s="10"/>
      <c r="I2" s="10"/>
      <c r="J2" s="10"/>
      <c r="K2" s="10"/>
      <c r="L2" s="10"/>
      <c r="M2" s="10"/>
      <c r="N2" s="10"/>
      <c r="O2" s="10"/>
      <c r="P2" s="10"/>
    </row>
    <row r="3" spans="1:16" ht="18.75" x14ac:dyDescent="0.3">
      <c r="A3" s="10"/>
      <c r="B3" s="10"/>
      <c r="C3" s="10"/>
      <c r="D3" s="10"/>
      <c r="E3" s="10"/>
      <c r="F3" s="10"/>
      <c r="G3" s="11"/>
      <c r="H3" s="10"/>
      <c r="I3" s="10"/>
      <c r="J3" s="10"/>
      <c r="K3" s="10"/>
      <c r="L3" s="10"/>
      <c r="M3" s="10"/>
      <c r="N3" s="10"/>
      <c r="O3" s="10"/>
      <c r="P3" s="10"/>
    </row>
    <row r="4" spans="1:16" ht="18.75" x14ac:dyDescent="0.3">
      <c r="A4" s="10"/>
      <c r="B4" s="10"/>
      <c r="C4" s="10"/>
      <c r="D4" s="10"/>
      <c r="E4" s="10"/>
      <c r="F4" s="10"/>
      <c r="G4" s="11"/>
      <c r="H4" s="10"/>
      <c r="I4" s="10"/>
      <c r="J4" s="10"/>
      <c r="K4" s="10"/>
      <c r="L4" s="10"/>
      <c r="M4" s="10"/>
      <c r="N4" s="10"/>
      <c r="O4" s="10"/>
      <c r="P4" s="10"/>
    </row>
    <row r="5" spans="1:16" ht="18.75" x14ac:dyDescent="0.3">
      <c r="A5" s="10"/>
      <c r="B5" s="10"/>
      <c r="C5" s="10"/>
      <c r="D5" s="10"/>
      <c r="E5" s="10"/>
      <c r="F5" s="10"/>
      <c r="G5" s="11"/>
      <c r="H5" s="10"/>
      <c r="I5" s="10"/>
      <c r="J5" s="10"/>
      <c r="K5" s="10"/>
      <c r="L5" s="10"/>
      <c r="M5" s="10"/>
      <c r="N5" s="10"/>
      <c r="O5" s="10"/>
      <c r="P5" s="10"/>
    </row>
    <row r="6" spans="1:16" ht="18.75" x14ac:dyDescent="0.3">
      <c r="A6" s="10"/>
      <c r="B6" s="10"/>
      <c r="C6" s="10"/>
      <c r="D6" s="10"/>
      <c r="E6" s="10"/>
      <c r="F6" s="10"/>
      <c r="G6" s="21"/>
      <c r="H6" s="10"/>
      <c r="I6" s="10"/>
      <c r="J6" s="10"/>
      <c r="K6" s="10"/>
      <c r="L6" s="10"/>
      <c r="M6" s="10"/>
      <c r="N6" s="10"/>
      <c r="O6" s="10"/>
      <c r="P6" s="10"/>
    </row>
    <row r="7" spans="1:16" ht="18.75" x14ac:dyDescent="0.3">
      <c r="A7" s="10" t="s">
        <v>8</v>
      </c>
      <c r="B7" s="10"/>
      <c r="C7" s="10"/>
      <c r="D7" s="10"/>
      <c r="E7" s="10"/>
      <c r="F7" s="10"/>
      <c r="G7" s="11"/>
      <c r="H7" s="10"/>
      <c r="I7" s="10"/>
      <c r="J7" s="10"/>
      <c r="K7" s="10"/>
      <c r="L7" s="10"/>
      <c r="M7" s="10"/>
      <c r="N7" s="10"/>
      <c r="O7" s="10"/>
      <c r="P7" s="10"/>
    </row>
    <row r="8" spans="1:16" ht="18.75" x14ac:dyDescent="0.3">
      <c r="A8" s="10" t="s">
        <v>63</v>
      </c>
      <c r="B8" s="10"/>
      <c r="C8" s="10"/>
      <c r="D8" s="10"/>
      <c r="E8" s="10"/>
      <c r="F8" s="10"/>
      <c r="G8" s="11"/>
      <c r="H8" s="10"/>
      <c r="I8" s="10"/>
      <c r="J8" s="10"/>
      <c r="K8" s="10"/>
      <c r="L8" s="10"/>
      <c r="M8" s="10"/>
      <c r="N8" s="10"/>
      <c r="O8" s="10"/>
      <c r="P8" s="10"/>
    </row>
    <row r="9" spans="1:16" ht="15.75" x14ac:dyDescent="0.25">
      <c r="A9" s="17" t="s">
        <v>15</v>
      </c>
      <c r="B9" s="4"/>
      <c r="C9" s="4"/>
      <c r="D9" s="4"/>
      <c r="E9" s="4"/>
      <c r="F9" s="4"/>
      <c r="G9" s="12"/>
      <c r="H9" s="4"/>
      <c r="I9" s="4"/>
      <c r="J9" s="4"/>
      <c r="K9" s="4"/>
      <c r="L9" s="4"/>
      <c r="M9" s="4"/>
      <c r="N9" s="4"/>
      <c r="O9" s="4"/>
      <c r="P9" s="4"/>
    </row>
    <row r="10" spans="1:16" ht="15" customHeight="1" x14ac:dyDescent="0.25">
      <c r="A10" s="14"/>
      <c r="B10" s="4"/>
      <c r="C10" s="4"/>
      <c r="D10" s="12"/>
      <c r="E10" s="4"/>
      <c r="F10" s="4"/>
      <c r="G10" s="4"/>
      <c r="H10" s="4"/>
      <c r="I10" s="4"/>
      <c r="J10" s="4"/>
      <c r="K10" s="4"/>
      <c r="L10" s="4"/>
      <c r="M10" s="4"/>
    </row>
    <row r="11" spans="1:16" ht="30" customHeight="1" x14ac:dyDescent="0.25">
      <c r="A11" s="22" t="s">
        <v>21</v>
      </c>
      <c r="B11" s="23" t="s">
        <v>22</v>
      </c>
      <c r="C11" s="19" t="s">
        <v>23</v>
      </c>
      <c r="D11" s="26" t="s">
        <v>24</v>
      </c>
      <c r="E11" s="27" t="s">
        <v>25</v>
      </c>
      <c r="F11" s="22" t="s">
        <v>35</v>
      </c>
      <c r="G11" s="22" t="s">
        <v>36</v>
      </c>
      <c r="H11" s="22" t="s">
        <v>38</v>
      </c>
      <c r="I11" s="22" t="s">
        <v>37</v>
      </c>
      <c r="J11" s="22" t="s">
        <v>26</v>
      </c>
      <c r="K11" s="22" t="s">
        <v>27</v>
      </c>
      <c r="L11" s="22" t="s">
        <v>28</v>
      </c>
      <c r="M11" s="22" t="s">
        <v>29</v>
      </c>
      <c r="N11" s="22" t="s">
        <v>30</v>
      </c>
      <c r="O11" s="24" t="s">
        <v>31</v>
      </c>
      <c r="P11" s="25"/>
    </row>
    <row r="12" spans="1:16" ht="48" customHeight="1" x14ac:dyDescent="0.25">
      <c r="A12" s="22"/>
      <c r="B12" s="23"/>
      <c r="C12" s="19" t="s">
        <v>33</v>
      </c>
      <c r="D12" s="26"/>
      <c r="E12" s="28"/>
      <c r="F12" s="22"/>
      <c r="G12" s="22"/>
      <c r="H12" s="22"/>
      <c r="I12" s="23"/>
      <c r="J12" s="22"/>
      <c r="K12" s="23"/>
      <c r="L12" s="23"/>
      <c r="M12" s="23"/>
      <c r="N12" s="23"/>
      <c r="O12" s="18" t="s">
        <v>32</v>
      </c>
      <c r="P12" s="18" t="s">
        <v>39</v>
      </c>
    </row>
    <row r="13" spans="1:16" ht="30" customHeight="1" x14ac:dyDescent="0.25">
      <c r="A13" s="1">
        <v>1</v>
      </c>
      <c r="B13" s="16" t="s">
        <v>16</v>
      </c>
      <c r="C13" s="8" t="s">
        <v>40</v>
      </c>
      <c r="D13" s="1" t="s">
        <v>17</v>
      </c>
      <c r="E13" s="2" t="s">
        <v>34</v>
      </c>
      <c r="F13" s="3">
        <v>0</v>
      </c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ht="30" customHeight="1" x14ac:dyDescent="0.25">
      <c r="A14" s="1">
        <f>A13+1</f>
        <v>2</v>
      </c>
      <c r="B14" s="16" t="s">
        <v>16</v>
      </c>
      <c r="C14" s="9" t="s">
        <v>41</v>
      </c>
      <c r="D14" s="1" t="s">
        <v>18</v>
      </c>
      <c r="E14" s="2" t="s">
        <v>34</v>
      </c>
      <c r="F14" s="3">
        <v>0</v>
      </c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ht="30" customHeight="1" x14ac:dyDescent="0.25">
      <c r="A15" s="1">
        <v>3</v>
      </c>
      <c r="B15" s="16" t="s">
        <v>16</v>
      </c>
      <c r="C15" s="9" t="s">
        <v>48</v>
      </c>
      <c r="D15" s="1" t="s">
        <v>19</v>
      </c>
      <c r="E15" s="2" t="s">
        <v>34</v>
      </c>
      <c r="F15" s="3">
        <v>0</v>
      </c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30" customHeight="1" x14ac:dyDescent="0.25">
      <c r="A16" s="1">
        <f t="shared" ref="A16:A25" si="0">A15+1</f>
        <v>4</v>
      </c>
      <c r="B16" s="16" t="s">
        <v>16</v>
      </c>
      <c r="C16" s="9" t="s">
        <v>49</v>
      </c>
      <c r="D16" s="1" t="s">
        <v>20</v>
      </c>
      <c r="E16" s="2" t="s">
        <v>34</v>
      </c>
      <c r="F16" s="15">
        <v>0</v>
      </c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1:16" ht="30" customHeight="1" x14ac:dyDescent="0.25">
      <c r="A17" s="1">
        <f t="shared" si="0"/>
        <v>5</v>
      </c>
      <c r="B17" s="2" t="s">
        <v>7</v>
      </c>
      <c r="C17" s="8" t="s">
        <v>43</v>
      </c>
      <c r="D17" s="1" t="s">
        <v>0</v>
      </c>
      <c r="E17" s="2" t="s">
        <v>34</v>
      </c>
      <c r="F17" s="15">
        <v>7500</v>
      </c>
      <c r="G17" s="15">
        <v>0</v>
      </c>
      <c r="H17" s="15">
        <v>4500</v>
      </c>
      <c r="I17" s="15"/>
      <c r="J17" s="15">
        <v>375</v>
      </c>
      <c r="K17" s="15"/>
      <c r="L17" s="15">
        <f>SUM(F17:K17)</f>
        <v>12375</v>
      </c>
      <c r="M17" s="15">
        <f>362.25+289.81</f>
        <v>652.05999999999995</v>
      </c>
      <c r="N17" s="15">
        <f t="shared" ref="N17:N28" si="1">+L17-M17</f>
        <v>11722.94</v>
      </c>
      <c r="O17" s="15"/>
      <c r="P17" s="15"/>
    </row>
    <row r="18" spans="1:16" ht="30" customHeight="1" x14ac:dyDescent="0.25">
      <c r="A18" s="1">
        <f t="shared" si="0"/>
        <v>6</v>
      </c>
      <c r="B18" s="2" t="s">
        <v>7</v>
      </c>
      <c r="C18" s="8" t="s">
        <v>6</v>
      </c>
      <c r="D18" s="1" t="s">
        <v>42</v>
      </c>
      <c r="E18" s="2" t="s">
        <v>34</v>
      </c>
      <c r="F18" s="15">
        <v>10966</v>
      </c>
      <c r="G18" s="15">
        <v>34.270000000000003</v>
      </c>
      <c r="H18" s="15">
        <v>1550</v>
      </c>
      <c r="I18" s="15">
        <v>0</v>
      </c>
      <c r="J18" s="15">
        <v>375</v>
      </c>
      <c r="K18" s="15"/>
      <c r="L18" s="15">
        <f t="shared" ref="L18:L28" si="2">SUM(F18:K18)</f>
        <v>12925.27</v>
      </c>
      <c r="M18" s="15">
        <v>968.56</v>
      </c>
      <c r="N18" s="15">
        <f t="shared" si="1"/>
        <v>11956.710000000001</v>
      </c>
      <c r="O18" s="15"/>
      <c r="P18" s="15"/>
    </row>
    <row r="19" spans="1:16" ht="30" customHeight="1" x14ac:dyDescent="0.25">
      <c r="A19" s="1">
        <f t="shared" si="0"/>
        <v>7</v>
      </c>
      <c r="B19" s="2" t="s">
        <v>7</v>
      </c>
      <c r="C19" s="8" t="s">
        <v>44</v>
      </c>
      <c r="D19" s="8" t="s">
        <v>45</v>
      </c>
      <c r="E19" s="2" t="s">
        <v>34</v>
      </c>
      <c r="F19" s="15">
        <v>7500</v>
      </c>
      <c r="G19" s="15"/>
      <c r="H19" s="15">
        <v>1500</v>
      </c>
      <c r="I19" s="15">
        <v>0</v>
      </c>
      <c r="J19" s="15">
        <v>375</v>
      </c>
      <c r="K19" s="15"/>
      <c r="L19" s="15">
        <f t="shared" si="2"/>
        <v>9375</v>
      </c>
      <c r="M19" s="15">
        <f>362.25+126+257.21</f>
        <v>745.46</v>
      </c>
      <c r="N19" s="15">
        <f t="shared" si="1"/>
        <v>8629.5400000000009</v>
      </c>
      <c r="O19" s="15"/>
      <c r="P19" s="15"/>
    </row>
    <row r="20" spans="1:16" ht="30" customHeight="1" x14ac:dyDescent="0.25">
      <c r="A20" s="1">
        <f t="shared" si="0"/>
        <v>8</v>
      </c>
      <c r="B20" s="2" t="s">
        <v>7</v>
      </c>
      <c r="C20" s="8" t="s">
        <v>9</v>
      </c>
      <c r="D20" s="1" t="s">
        <v>2</v>
      </c>
      <c r="E20" s="2" t="s">
        <v>34</v>
      </c>
      <c r="F20" s="15">
        <v>4243</v>
      </c>
      <c r="G20" s="15"/>
      <c r="H20" s="15">
        <v>1550</v>
      </c>
      <c r="I20" s="15">
        <v>500</v>
      </c>
      <c r="J20" s="15">
        <v>0</v>
      </c>
      <c r="K20" s="15"/>
      <c r="L20" s="15">
        <f t="shared" si="2"/>
        <v>6293</v>
      </c>
      <c r="M20" s="15">
        <f>204.94+84.58+116.49</f>
        <v>406.01</v>
      </c>
      <c r="N20" s="15">
        <f t="shared" si="1"/>
        <v>5886.99</v>
      </c>
      <c r="O20" s="15"/>
      <c r="P20" s="15"/>
    </row>
    <row r="21" spans="1:16" ht="30" customHeight="1" x14ac:dyDescent="0.25">
      <c r="A21" s="1">
        <f t="shared" si="0"/>
        <v>9</v>
      </c>
      <c r="B21" s="2" t="s">
        <v>7</v>
      </c>
      <c r="C21" s="8" t="s">
        <v>46</v>
      </c>
      <c r="D21" s="1" t="s">
        <v>3</v>
      </c>
      <c r="E21" s="2" t="s">
        <v>34</v>
      </c>
      <c r="F21" s="15">
        <v>3166.38</v>
      </c>
      <c r="G21" s="15">
        <v>323.27</v>
      </c>
      <c r="H21" s="15">
        <v>1550</v>
      </c>
      <c r="I21" s="15">
        <v>0</v>
      </c>
      <c r="J21" s="15">
        <v>0</v>
      </c>
      <c r="K21" s="15"/>
      <c r="L21" s="15">
        <f t="shared" si="2"/>
        <v>5039.6499999999996</v>
      </c>
      <c r="M21" s="15">
        <v>263.55</v>
      </c>
      <c r="N21" s="15">
        <f>+L21-M21</f>
        <v>4776.0999999999995</v>
      </c>
      <c r="O21" s="15"/>
      <c r="P21" s="15"/>
    </row>
    <row r="22" spans="1:16" ht="30" customHeight="1" x14ac:dyDescent="0.25">
      <c r="A22" s="1">
        <f t="shared" si="0"/>
        <v>10</v>
      </c>
      <c r="B22" s="2" t="s">
        <v>7</v>
      </c>
      <c r="C22" s="8" t="s">
        <v>47</v>
      </c>
      <c r="D22" s="1" t="s">
        <v>1</v>
      </c>
      <c r="E22" s="2" t="s">
        <v>34</v>
      </c>
      <c r="F22" s="15">
        <v>3060.2</v>
      </c>
      <c r="G22" s="15">
        <v>22.07</v>
      </c>
      <c r="H22" s="15">
        <v>1343.33</v>
      </c>
      <c r="I22" s="15">
        <v>0</v>
      </c>
      <c r="J22" s="15">
        <v>0</v>
      </c>
      <c r="K22" s="15"/>
      <c r="L22" s="15">
        <f t="shared" si="2"/>
        <v>4425.6000000000004</v>
      </c>
      <c r="M22" s="15">
        <v>201.79</v>
      </c>
      <c r="N22" s="15">
        <f t="shared" si="1"/>
        <v>4223.8100000000004</v>
      </c>
      <c r="O22" s="15"/>
      <c r="P22" s="15"/>
    </row>
    <row r="23" spans="1:16" ht="30" customHeight="1" x14ac:dyDescent="0.25">
      <c r="A23" s="1">
        <f t="shared" si="0"/>
        <v>11</v>
      </c>
      <c r="B23" s="2" t="s">
        <v>7</v>
      </c>
      <c r="C23" s="8" t="s">
        <v>10</v>
      </c>
      <c r="D23" s="1" t="s">
        <v>56</v>
      </c>
      <c r="E23" s="2" t="s">
        <v>34</v>
      </c>
      <c r="F23" s="15">
        <v>5697</v>
      </c>
      <c r="G23" s="15">
        <v>1483.75</v>
      </c>
      <c r="H23" s="15">
        <v>1800</v>
      </c>
      <c r="I23" s="15">
        <v>500</v>
      </c>
      <c r="J23" s="15"/>
      <c r="K23" s="15"/>
      <c r="L23" s="15">
        <f>SUM(F23:K23)</f>
        <v>9480.75</v>
      </c>
      <c r="M23" s="15">
        <v>553.24</v>
      </c>
      <c r="N23" s="15">
        <f t="shared" si="1"/>
        <v>8927.51</v>
      </c>
      <c r="O23" s="15"/>
      <c r="P23" s="15"/>
    </row>
    <row r="24" spans="1:16" ht="30" customHeight="1" x14ac:dyDescent="0.25">
      <c r="A24" s="1">
        <f t="shared" si="0"/>
        <v>12</v>
      </c>
      <c r="B24" s="2" t="s">
        <v>7</v>
      </c>
      <c r="C24" s="8" t="s">
        <v>11</v>
      </c>
      <c r="D24" s="1" t="s">
        <v>4</v>
      </c>
      <c r="E24" s="2" t="s">
        <v>34</v>
      </c>
      <c r="F24" s="15">
        <v>7392</v>
      </c>
      <c r="G24" s="15">
        <v>708.4</v>
      </c>
      <c r="H24" s="15">
        <v>2300</v>
      </c>
      <c r="I24" s="15">
        <v>500</v>
      </c>
      <c r="J24" s="15"/>
      <c r="K24" s="15"/>
      <c r="L24" s="15">
        <f t="shared" si="2"/>
        <v>10900.4</v>
      </c>
      <c r="M24" s="15">
        <v>705.4</v>
      </c>
      <c r="N24" s="15">
        <f t="shared" si="1"/>
        <v>10195</v>
      </c>
      <c r="O24" s="15"/>
      <c r="P24" s="15"/>
    </row>
    <row r="25" spans="1:16" ht="30" customHeight="1" x14ac:dyDescent="0.25">
      <c r="A25" s="1">
        <f t="shared" si="0"/>
        <v>13</v>
      </c>
      <c r="B25" s="2" t="s">
        <v>7</v>
      </c>
      <c r="C25" s="8" t="s">
        <v>54</v>
      </c>
      <c r="D25" s="1" t="s">
        <v>55</v>
      </c>
      <c r="E25" s="2" t="s">
        <v>34</v>
      </c>
      <c r="F25" s="15">
        <v>6750</v>
      </c>
      <c r="G25" s="15"/>
      <c r="H25" s="15">
        <v>250</v>
      </c>
      <c r="I25" s="15">
        <v>0</v>
      </c>
      <c r="J25" s="15"/>
      <c r="K25" s="15"/>
      <c r="L25" s="15">
        <f t="shared" si="2"/>
        <v>7000</v>
      </c>
      <c r="M25" s="15">
        <f>326.02+160.44</f>
        <v>486.46</v>
      </c>
      <c r="N25" s="15">
        <f t="shared" si="1"/>
        <v>6513.54</v>
      </c>
      <c r="O25" s="15"/>
      <c r="P25" s="15"/>
    </row>
    <row r="26" spans="1:16" ht="30" customHeight="1" x14ac:dyDescent="0.25">
      <c r="A26" s="1">
        <v>15</v>
      </c>
      <c r="B26" s="2" t="s">
        <v>7</v>
      </c>
      <c r="C26" s="8" t="s">
        <v>12</v>
      </c>
      <c r="D26" s="1" t="s">
        <v>5</v>
      </c>
      <c r="E26" s="2" t="s">
        <v>34</v>
      </c>
      <c r="F26" s="15">
        <v>3166.38</v>
      </c>
      <c r="G26" s="15">
        <v>620.16</v>
      </c>
      <c r="H26" s="15">
        <v>1550</v>
      </c>
      <c r="I26" s="15">
        <v>0</v>
      </c>
      <c r="J26" s="15"/>
      <c r="K26" s="15"/>
      <c r="L26" s="15">
        <f t="shared" si="2"/>
        <v>5336.54</v>
      </c>
      <c r="M26" s="15">
        <v>210.98</v>
      </c>
      <c r="N26" s="15">
        <f t="shared" si="1"/>
        <v>5125.5600000000004</v>
      </c>
      <c r="O26" s="15"/>
      <c r="P26" s="15"/>
    </row>
    <row r="27" spans="1:16" ht="30" customHeight="1" x14ac:dyDescent="0.25">
      <c r="A27" s="1">
        <v>16</v>
      </c>
      <c r="B27" s="2">
        <v>11</v>
      </c>
      <c r="C27" s="8" t="s">
        <v>50</v>
      </c>
      <c r="D27" s="1" t="s">
        <v>51</v>
      </c>
      <c r="E27" s="2" t="s">
        <v>34</v>
      </c>
      <c r="F27" s="15">
        <v>3166.38</v>
      </c>
      <c r="G27" s="15">
        <v>620.16</v>
      </c>
      <c r="H27" s="15">
        <v>1449</v>
      </c>
      <c r="I27" s="15"/>
      <c r="J27" s="15"/>
      <c r="K27" s="15"/>
      <c r="L27" s="15">
        <f t="shared" si="2"/>
        <v>5235.54</v>
      </c>
      <c r="M27" s="15">
        <v>205.61</v>
      </c>
      <c r="N27" s="15">
        <f t="shared" si="1"/>
        <v>5029.93</v>
      </c>
      <c r="O27" s="15"/>
      <c r="P27" s="15"/>
    </row>
    <row r="28" spans="1:16" ht="30" customHeight="1" x14ac:dyDescent="0.25">
      <c r="A28" s="1">
        <v>17</v>
      </c>
      <c r="B28" s="2">
        <v>23</v>
      </c>
      <c r="C28" s="8" t="s">
        <v>64</v>
      </c>
      <c r="D28" s="1" t="s">
        <v>65</v>
      </c>
      <c r="E28" s="2" t="s">
        <v>34</v>
      </c>
      <c r="F28" s="15">
        <v>823.9</v>
      </c>
      <c r="G28" s="15"/>
      <c r="H28" s="15">
        <v>58.31</v>
      </c>
      <c r="I28" s="15"/>
      <c r="J28" s="15"/>
      <c r="K28" s="15"/>
      <c r="L28" s="15">
        <f t="shared" si="2"/>
        <v>882.21</v>
      </c>
      <c r="M28" s="15">
        <v>39.79</v>
      </c>
      <c r="N28" s="15">
        <f t="shared" si="1"/>
        <v>842.42000000000007</v>
      </c>
      <c r="O28" s="15"/>
      <c r="P28" s="15"/>
    </row>
    <row r="29" spans="1:16" ht="30" customHeight="1" x14ac:dyDescent="0.25">
      <c r="A29" s="1">
        <v>18</v>
      </c>
      <c r="B29" s="2">
        <v>184</v>
      </c>
      <c r="C29" s="8" t="s">
        <v>61</v>
      </c>
      <c r="D29" s="8" t="s">
        <v>13</v>
      </c>
      <c r="E29" s="2" t="s">
        <v>34</v>
      </c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1:16" ht="30" customHeight="1" x14ac:dyDescent="0.25">
      <c r="A30" s="1">
        <v>19</v>
      </c>
      <c r="B30" s="2">
        <v>183</v>
      </c>
      <c r="C30" s="8" t="s">
        <v>52</v>
      </c>
      <c r="D30" s="1" t="s">
        <v>53</v>
      </c>
      <c r="E30" s="2" t="s">
        <v>34</v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2" spans="1:16" ht="15" customHeight="1" x14ac:dyDescent="0.25"/>
    <row r="34" spans="1:16" s="6" customFormat="1" ht="0.95" customHeight="1" x14ac:dyDescent="0.25">
      <c r="A34"/>
      <c r="B34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20"/>
    </row>
    <row r="35" spans="1:16" x14ac:dyDescent="0.25">
      <c r="C35" s="7" t="s">
        <v>14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</row>
    <row r="36" spans="1:16" x14ac:dyDescent="0.25">
      <c r="B36" s="5"/>
      <c r="C36" s="7" t="s">
        <v>58</v>
      </c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</row>
  </sheetData>
  <mergeCells count="14">
    <mergeCell ref="G11:G12"/>
    <mergeCell ref="A11:A12"/>
    <mergeCell ref="B11:B12"/>
    <mergeCell ref="D11:D12"/>
    <mergeCell ref="E11:E12"/>
    <mergeCell ref="F11:F12"/>
    <mergeCell ref="N11:N12"/>
    <mergeCell ref="O11:P11"/>
    <mergeCell ref="H11:H12"/>
    <mergeCell ref="I11:I12"/>
    <mergeCell ref="J11:J12"/>
    <mergeCell ref="K11:K12"/>
    <mergeCell ref="L11:L12"/>
    <mergeCell ref="M11:M12"/>
  </mergeCells>
  <printOptions horizontalCentered="1"/>
  <pageMargins left="0.19685039370078741" right="0.19685039370078741" top="0.39370078740157483" bottom="0.19685039370078741" header="0.19685039370078741" footer="0.19685039370078741"/>
  <pageSetup scale="5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E74D8-9140-4A25-915D-3BE16EB48C66}">
  <dimension ref="A1:P36"/>
  <sheetViews>
    <sheetView showGridLines="0" topLeftCell="A5" zoomScale="85" zoomScaleNormal="85" workbookViewId="0">
      <selection activeCell="A16" sqref="A16"/>
    </sheetView>
  </sheetViews>
  <sheetFormatPr baseColWidth="10" defaultRowHeight="15" x14ac:dyDescent="0.25"/>
  <cols>
    <col min="1" max="1" width="3.28515625" customWidth="1"/>
    <col min="2" max="2" width="8.7109375" customWidth="1"/>
    <col min="3" max="3" width="25.7109375" customWidth="1"/>
    <col min="4" max="4" width="26.7109375" customWidth="1"/>
    <col min="5" max="5" width="8.7109375" customWidth="1"/>
    <col min="6" max="6" width="12.7109375" customWidth="1"/>
    <col min="7" max="10" width="11.7109375" customWidth="1"/>
    <col min="11" max="11" width="12.28515625" customWidth="1"/>
    <col min="12" max="12" width="12.7109375" customWidth="1"/>
    <col min="13" max="13" width="12.28515625" customWidth="1"/>
    <col min="14" max="16" width="12.7109375" customWidth="1"/>
  </cols>
  <sheetData>
    <row r="1" spans="1:16" ht="18.75" x14ac:dyDescent="0.3">
      <c r="A1" s="10"/>
      <c r="B1" s="10"/>
      <c r="C1" s="10"/>
      <c r="D1" s="10"/>
      <c r="E1" s="10"/>
      <c r="F1" s="10"/>
      <c r="G1" s="11"/>
      <c r="H1" s="10"/>
      <c r="I1" s="10"/>
      <c r="J1" s="10"/>
      <c r="K1" s="10"/>
      <c r="L1" s="10"/>
      <c r="M1" s="10"/>
      <c r="N1" s="10"/>
      <c r="O1" s="10"/>
      <c r="P1" s="10"/>
    </row>
    <row r="2" spans="1:16" ht="18.75" x14ac:dyDescent="0.3">
      <c r="A2" s="10"/>
      <c r="B2" s="10"/>
      <c r="C2" s="10"/>
      <c r="D2" s="10"/>
      <c r="E2" s="10"/>
      <c r="F2" s="10"/>
      <c r="G2" s="11"/>
      <c r="H2" s="10"/>
      <c r="I2" s="10"/>
      <c r="J2" s="10"/>
      <c r="K2" s="10"/>
      <c r="L2" s="10"/>
      <c r="M2" s="10"/>
      <c r="N2" s="10"/>
      <c r="O2" s="10"/>
      <c r="P2" s="10"/>
    </row>
    <row r="3" spans="1:16" ht="18.75" x14ac:dyDescent="0.3">
      <c r="A3" s="10"/>
      <c r="B3" s="10"/>
      <c r="C3" s="10"/>
      <c r="D3" s="10"/>
      <c r="E3" s="10"/>
      <c r="F3" s="10"/>
      <c r="G3" s="11"/>
      <c r="H3" s="10"/>
      <c r="I3" s="10"/>
      <c r="J3" s="10"/>
      <c r="K3" s="10"/>
      <c r="L3" s="10"/>
      <c r="M3" s="10"/>
      <c r="N3" s="10"/>
      <c r="O3" s="10"/>
      <c r="P3" s="10"/>
    </row>
    <row r="4" spans="1:16" ht="18.75" x14ac:dyDescent="0.3">
      <c r="A4" s="10"/>
      <c r="B4" s="10"/>
      <c r="C4" s="10"/>
      <c r="D4" s="10"/>
      <c r="E4" s="10"/>
      <c r="F4" s="10"/>
      <c r="G4" s="11"/>
      <c r="H4" s="10"/>
      <c r="I4" s="10"/>
      <c r="J4" s="10"/>
      <c r="K4" s="10"/>
      <c r="L4" s="10"/>
      <c r="M4" s="10"/>
      <c r="N4" s="10"/>
      <c r="O4" s="10"/>
      <c r="P4" s="10"/>
    </row>
    <row r="5" spans="1:16" ht="18.75" x14ac:dyDescent="0.3">
      <c r="A5" s="10"/>
      <c r="B5" s="10"/>
      <c r="C5" s="10"/>
      <c r="D5" s="10"/>
      <c r="E5" s="10"/>
      <c r="F5" s="10"/>
      <c r="G5" s="11"/>
      <c r="H5" s="10"/>
      <c r="I5" s="10"/>
      <c r="J5" s="10"/>
      <c r="K5" s="10"/>
      <c r="L5" s="10"/>
      <c r="M5" s="10"/>
      <c r="N5" s="10"/>
      <c r="O5" s="10"/>
      <c r="P5" s="10"/>
    </row>
    <row r="6" spans="1:16" ht="18.75" x14ac:dyDescent="0.3">
      <c r="A6" s="10"/>
      <c r="B6" s="10"/>
      <c r="C6" s="10"/>
      <c r="D6" s="10"/>
      <c r="E6" s="10"/>
      <c r="F6" s="10"/>
      <c r="G6" s="21"/>
      <c r="H6" s="10"/>
      <c r="I6" s="10"/>
      <c r="J6" s="10"/>
      <c r="K6" s="10"/>
      <c r="L6" s="10"/>
      <c r="M6" s="10"/>
      <c r="N6" s="10"/>
      <c r="O6" s="10"/>
      <c r="P6" s="10"/>
    </row>
    <row r="7" spans="1:16" ht="18.75" x14ac:dyDescent="0.3">
      <c r="A7" s="10" t="s">
        <v>8</v>
      </c>
      <c r="B7" s="10"/>
      <c r="C7" s="10"/>
      <c r="D7" s="10"/>
      <c r="E7" s="10"/>
      <c r="F7" s="10"/>
      <c r="G7" s="11"/>
      <c r="H7" s="10"/>
      <c r="I7" s="10"/>
      <c r="J7" s="10"/>
      <c r="K7" s="10"/>
      <c r="L7" s="10"/>
      <c r="M7" s="10"/>
      <c r="N7" s="10"/>
      <c r="O7" s="10"/>
      <c r="P7" s="10"/>
    </row>
    <row r="8" spans="1:16" ht="18.75" x14ac:dyDescent="0.3">
      <c r="A8" s="10" t="s">
        <v>66</v>
      </c>
      <c r="B8" s="10"/>
      <c r="C8" s="10"/>
      <c r="D8" s="10"/>
      <c r="E8" s="10"/>
      <c r="F8" s="10"/>
      <c r="G8" s="11"/>
      <c r="H8" s="10"/>
      <c r="I8" s="10"/>
      <c r="J8" s="10"/>
      <c r="K8" s="10"/>
      <c r="L8" s="10"/>
      <c r="M8" s="10"/>
      <c r="N8" s="10"/>
      <c r="O8" s="10"/>
      <c r="P8" s="10"/>
    </row>
    <row r="9" spans="1:16" ht="15.75" x14ac:dyDescent="0.25">
      <c r="A9" s="17" t="s">
        <v>15</v>
      </c>
      <c r="B9" s="4"/>
      <c r="C9" s="4"/>
      <c r="D9" s="4"/>
      <c r="E9" s="4"/>
      <c r="F9" s="4"/>
      <c r="G9" s="12"/>
      <c r="H9" s="4"/>
      <c r="I9" s="4"/>
      <c r="J9" s="4"/>
      <c r="K9" s="4"/>
      <c r="L9" s="4"/>
      <c r="M9" s="4"/>
      <c r="N9" s="4"/>
      <c r="O9" s="4"/>
      <c r="P9" s="4"/>
    </row>
    <row r="10" spans="1:16" ht="15" customHeight="1" x14ac:dyDescent="0.25">
      <c r="A10" s="14"/>
      <c r="B10" s="4"/>
      <c r="C10" s="4"/>
      <c r="D10" s="12"/>
      <c r="E10" s="4"/>
      <c r="F10" s="4"/>
      <c r="G10" s="4"/>
      <c r="H10" s="4"/>
      <c r="I10" s="4"/>
      <c r="J10" s="4"/>
      <c r="K10" s="4"/>
      <c r="L10" s="4"/>
      <c r="M10" s="4"/>
    </row>
    <row r="11" spans="1:16" ht="30" customHeight="1" x14ac:dyDescent="0.25">
      <c r="A11" s="22" t="s">
        <v>21</v>
      </c>
      <c r="B11" s="23" t="s">
        <v>22</v>
      </c>
      <c r="C11" s="19" t="s">
        <v>23</v>
      </c>
      <c r="D11" s="26" t="s">
        <v>24</v>
      </c>
      <c r="E11" s="27" t="s">
        <v>25</v>
      </c>
      <c r="F11" s="22" t="s">
        <v>35</v>
      </c>
      <c r="G11" s="22" t="s">
        <v>36</v>
      </c>
      <c r="H11" s="22" t="s">
        <v>38</v>
      </c>
      <c r="I11" s="22" t="s">
        <v>37</v>
      </c>
      <c r="J11" s="22" t="s">
        <v>26</v>
      </c>
      <c r="K11" s="22" t="s">
        <v>27</v>
      </c>
      <c r="L11" s="22" t="s">
        <v>28</v>
      </c>
      <c r="M11" s="22" t="s">
        <v>29</v>
      </c>
      <c r="N11" s="22" t="s">
        <v>30</v>
      </c>
      <c r="O11" s="24" t="s">
        <v>31</v>
      </c>
      <c r="P11" s="25"/>
    </row>
    <row r="12" spans="1:16" ht="48" customHeight="1" x14ac:dyDescent="0.25">
      <c r="A12" s="22"/>
      <c r="B12" s="23"/>
      <c r="C12" s="19" t="s">
        <v>33</v>
      </c>
      <c r="D12" s="26"/>
      <c r="E12" s="28"/>
      <c r="F12" s="22"/>
      <c r="G12" s="22"/>
      <c r="H12" s="22"/>
      <c r="I12" s="23"/>
      <c r="J12" s="22"/>
      <c r="K12" s="23"/>
      <c r="L12" s="23"/>
      <c r="M12" s="23"/>
      <c r="N12" s="23"/>
      <c r="O12" s="18" t="s">
        <v>32</v>
      </c>
      <c r="P12" s="18" t="s">
        <v>39</v>
      </c>
    </row>
    <row r="13" spans="1:16" ht="30" customHeight="1" x14ac:dyDescent="0.25">
      <c r="A13" s="1">
        <v>1</v>
      </c>
      <c r="B13" s="16" t="s">
        <v>16</v>
      </c>
      <c r="C13" s="8" t="s">
        <v>40</v>
      </c>
      <c r="D13" s="1" t="s">
        <v>17</v>
      </c>
      <c r="E13" s="2" t="s">
        <v>34</v>
      </c>
      <c r="F13" s="3">
        <v>0</v>
      </c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ht="30" customHeight="1" x14ac:dyDescent="0.25">
      <c r="A14" s="1">
        <f>A13+1</f>
        <v>2</v>
      </c>
      <c r="B14" s="16" t="s">
        <v>16</v>
      </c>
      <c r="C14" s="9" t="s">
        <v>41</v>
      </c>
      <c r="D14" s="1" t="s">
        <v>18</v>
      </c>
      <c r="E14" s="2" t="s">
        <v>34</v>
      </c>
      <c r="F14" s="3">
        <v>0</v>
      </c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ht="30" customHeight="1" x14ac:dyDescent="0.25">
      <c r="A15" s="1">
        <v>3</v>
      </c>
      <c r="B15" s="16" t="s">
        <v>16</v>
      </c>
      <c r="C15" s="9" t="s">
        <v>48</v>
      </c>
      <c r="D15" s="1" t="s">
        <v>19</v>
      </c>
      <c r="E15" s="2" t="s">
        <v>34</v>
      </c>
      <c r="F15" s="3">
        <v>0</v>
      </c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30" customHeight="1" x14ac:dyDescent="0.25">
      <c r="A16" s="1">
        <f t="shared" ref="A16:A25" si="0">A15+1</f>
        <v>4</v>
      </c>
      <c r="B16" s="16" t="s">
        <v>16</v>
      </c>
      <c r="C16" s="9" t="s">
        <v>49</v>
      </c>
      <c r="D16" s="1" t="s">
        <v>20</v>
      </c>
      <c r="E16" s="2" t="s">
        <v>34</v>
      </c>
      <c r="F16" s="15">
        <v>0</v>
      </c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1:16" ht="30" customHeight="1" x14ac:dyDescent="0.25">
      <c r="A17" s="1">
        <f t="shared" si="0"/>
        <v>5</v>
      </c>
      <c r="B17" s="2" t="s">
        <v>7</v>
      </c>
      <c r="C17" s="8" t="s">
        <v>43</v>
      </c>
      <c r="D17" s="1" t="s">
        <v>0</v>
      </c>
      <c r="E17" s="2" t="s">
        <v>34</v>
      </c>
      <c r="F17" s="15">
        <v>7500</v>
      </c>
      <c r="G17" s="15">
        <v>0</v>
      </c>
      <c r="H17" s="15">
        <v>4500</v>
      </c>
      <c r="I17" s="15"/>
      <c r="J17" s="15">
        <v>375</v>
      </c>
      <c r="K17" s="15"/>
      <c r="L17" s="15">
        <f>SUM(F17:K17)</f>
        <v>12375</v>
      </c>
      <c r="M17" s="15">
        <f>362.25+289.81</f>
        <v>652.05999999999995</v>
      </c>
      <c r="N17" s="15">
        <f t="shared" ref="N17:N28" si="1">+L17-M17</f>
        <v>11722.94</v>
      </c>
      <c r="O17" s="15"/>
      <c r="P17" s="15"/>
    </row>
    <row r="18" spans="1:16" ht="30" customHeight="1" x14ac:dyDescent="0.25">
      <c r="A18" s="1">
        <f t="shared" si="0"/>
        <v>6</v>
      </c>
      <c r="B18" s="2" t="s">
        <v>7</v>
      </c>
      <c r="C18" s="8" t="s">
        <v>6</v>
      </c>
      <c r="D18" s="1" t="s">
        <v>42</v>
      </c>
      <c r="E18" s="2" t="s">
        <v>34</v>
      </c>
      <c r="F18" s="15">
        <v>10966</v>
      </c>
      <c r="G18" s="15">
        <v>548.28</v>
      </c>
      <c r="H18" s="15">
        <v>1550</v>
      </c>
      <c r="I18" s="15">
        <v>0</v>
      </c>
      <c r="J18" s="15">
        <v>375</v>
      </c>
      <c r="K18" s="15"/>
      <c r="L18" s="15">
        <f t="shared" ref="L18:L28" si="2">SUM(F18:K18)</f>
        <v>13439.28</v>
      </c>
      <c r="M18" s="15">
        <f>414.85+556.15</f>
        <v>971</v>
      </c>
      <c r="N18" s="15">
        <f t="shared" si="1"/>
        <v>12468.28</v>
      </c>
      <c r="O18" s="15"/>
      <c r="P18" s="15"/>
    </row>
    <row r="19" spans="1:16" ht="30" customHeight="1" x14ac:dyDescent="0.25">
      <c r="A19" s="1">
        <f t="shared" si="0"/>
        <v>7</v>
      </c>
      <c r="B19" s="2" t="s">
        <v>7</v>
      </c>
      <c r="C19" s="8" t="s">
        <v>44</v>
      </c>
      <c r="D19" s="8" t="s">
        <v>45</v>
      </c>
      <c r="E19" s="2" t="s">
        <v>34</v>
      </c>
      <c r="F19" s="15">
        <v>7500</v>
      </c>
      <c r="G19" s="15"/>
      <c r="H19" s="15">
        <v>1500</v>
      </c>
      <c r="I19" s="15">
        <v>0</v>
      </c>
      <c r="J19" s="15">
        <v>375</v>
      </c>
      <c r="K19" s="15"/>
      <c r="L19" s="15">
        <f t="shared" si="2"/>
        <v>9375</v>
      </c>
      <c r="M19" s="15">
        <f>362.25+126+257.21</f>
        <v>745.46</v>
      </c>
      <c r="N19" s="15">
        <f t="shared" si="1"/>
        <v>8629.5400000000009</v>
      </c>
      <c r="O19" s="15"/>
      <c r="P19" s="15"/>
    </row>
    <row r="20" spans="1:16" ht="30" customHeight="1" x14ac:dyDescent="0.25">
      <c r="A20" s="1">
        <f t="shared" si="0"/>
        <v>8</v>
      </c>
      <c r="B20" s="2" t="s">
        <v>7</v>
      </c>
      <c r="C20" s="8" t="s">
        <v>9</v>
      </c>
      <c r="D20" s="1" t="s">
        <v>2</v>
      </c>
      <c r="E20" s="2" t="s">
        <v>34</v>
      </c>
      <c r="F20" s="15">
        <v>4243</v>
      </c>
      <c r="G20" s="15"/>
      <c r="H20" s="15">
        <v>1550</v>
      </c>
      <c r="I20" s="15">
        <v>500</v>
      </c>
      <c r="J20" s="15">
        <v>0</v>
      </c>
      <c r="K20" s="15"/>
      <c r="L20" s="15">
        <f t="shared" si="2"/>
        <v>6293</v>
      </c>
      <c r="M20" s="15">
        <f>204.94+84.58+116.49</f>
        <v>406.01</v>
      </c>
      <c r="N20" s="15">
        <f t="shared" si="1"/>
        <v>5886.99</v>
      </c>
      <c r="O20" s="15"/>
      <c r="P20" s="15"/>
    </row>
    <row r="21" spans="1:16" ht="30" customHeight="1" x14ac:dyDescent="0.25">
      <c r="A21" s="1">
        <f t="shared" si="0"/>
        <v>9</v>
      </c>
      <c r="B21" s="2" t="s">
        <v>7</v>
      </c>
      <c r="C21" s="8" t="s">
        <v>46</v>
      </c>
      <c r="D21" s="1" t="s">
        <v>3</v>
      </c>
      <c r="E21" s="2" t="s">
        <v>34</v>
      </c>
      <c r="F21" s="15">
        <v>3166.38</v>
      </c>
      <c r="G21" s="15">
        <v>158.34</v>
      </c>
      <c r="H21" s="15">
        <v>1550</v>
      </c>
      <c r="I21" s="15">
        <v>0</v>
      </c>
      <c r="J21" s="15">
        <v>0</v>
      </c>
      <c r="K21" s="15"/>
      <c r="L21" s="15">
        <f t="shared" si="2"/>
        <v>4874.72</v>
      </c>
      <c r="M21" s="15">
        <f>23.22+160.58</f>
        <v>183.8</v>
      </c>
      <c r="N21" s="15">
        <f>+L21-M21</f>
        <v>4690.92</v>
      </c>
      <c r="O21" s="15"/>
      <c r="P21" s="15"/>
    </row>
    <row r="22" spans="1:16" ht="30" customHeight="1" x14ac:dyDescent="0.25">
      <c r="A22" s="1">
        <f t="shared" si="0"/>
        <v>10</v>
      </c>
      <c r="B22" s="2" t="s">
        <v>7</v>
      </c>
      <c r="C22" s="8" t="s">
        <v>47</v>
      </c>
      <c r="D22" s="1" t="s">
        <v>1</v>
      </c>
      <c r="E22" s="2" t="s">
        <v>34</v>
      </c>
      <c r="F22" s="15"/>
      <c r="G22" s="15"/>
      <c r="H22" s="15"/>
      <c r="I22" s="15">
        <v>0</v>
      </c>
      <c r="J22" s="15">
        <v>0</v>
      </c>
      <c r="K22" s="15"/>
      <c r="L22" s="15">
        <f t="shared" si="2"/>
        <v>0</v>
      </c>
      <c r="M22" s="15"/>
      <c r="N22" s="15">
        <f t="shared" si="1"/>
        <v>0</v>
      </c>
      <c r="O22" s="15" t="s">
        <v>68</v>
      </c>
      <c r="P22" s="15"/>
    </row>
    <row r="23" spans="1:16" ht="30" customHeight="1" x14ac:dyDescent="0.25">
      <c r="A23" s="1">
        <f t="shared" si="0"/>
        <v>11</v>
      </c>
      <c r="B23" s="2" t="s">
        <v>7</v>
      </c>
      <c r="C23" s="8" t="s">
        <v>10</v>
      </c>
      <c r="D23" s="1" t="s">
        <v>56</v>
      </c>
      <c r="E23" s="2" t="s">
        <v>34</v>
      </c>
      <c r="F23" s="15">
        <v>5697</v>
      </c>
      <c r="G23" s="15">
        <v>284.88</v>
      </c>
      <c r="H23" s="15">
        <v>1800</v>
      </c>
      <c r="I23" s="15">
        <v>500</v>
      </c>
      <c r="J23" s="15"/>
      <c r="K23" s="15"/>
      <c r="L23" s="15">
        <f>SUM(F23:K23)</f>
        <v>8281.880000000001</v>
      </c>
      <c r="M23" s="15">
        <f>173.83+288.92</f>
        <v>462.75</v>
      </c>
      <c r="N23" s="15">
        <f t="shared" si="1"/>
        <v>7819.130000000001</v>
      </c>
      <c r="O23" s="15"/>
      <c r="P23" s="15"/>
    </row>
    <row r="24" spans="1:16" ht="30" customHeight="1" x14ac:dyDescent="0.25">
      <c r="A24" s="1">
        <f t="shared" si="0"/>
        <v>12</v>
      </c>
      <c r="B24" s="2" t="s">
        <v>7</v>
      </c>
      <c r="C24" s="8" t="s">
        <v>11</v>
      </c>
      <c r="D24" s="1" t="s">
        <v>4</v>
      </c>
      <c r="E24" s="2" t="s">
        <v>34</v>
      </c>
      <c r="F24" s="15">
        <v>7392</v>
      </c>
      <c r="G24" s="15">
        <v>369.6</v>
      </c>
      <c r="H24" s="15">
        <v>2300</v>
      </c>
      <c r="I24" s="15">
        <v>500</v>
      </c>
      <c r="J24" s="15"/>
      <c r="K24" s="15"/>
      <c r="L24" s="15">
        <f t="shared" si="2"/>
        <v>10561.6</v>
      </c>
      <c r="M24" s="15">
        <f>299.27+374.89</f>
        <v>674.16</v>
      </c>
      <c r="N24" s="15">
        <f t="shared" si="1"/>
        <v>9887.44</v>
      </c>
      <c r="O24" s="15"/>
      <c r="P24" s="15"/>
    </row>
    <row r="25" spans="1:16" ht="30" customHeight="1" x14ac:dyDescent="0.25">
      <c r="A25" s="1">
        <f t="shared" si="0"/>
        <v>13</v>
      </c>
      <c r="B25" s="2" t="s">
        <v>7</v>
      </c>
      <c r="C25" s="8" t="s">
        <v>54</v>
      </c>
      <c r="D25" s="1" t="s">
        <v>55</v>
      </c>
      <c r="E25" s="2" t="s">
        <v>34</v>
      </c>
      <c r="F25" s="15">
        <v>6750</v>
      </c>
      <c r="G25" s="15"/>
      <c r="H25" s="15">
        <v>250</v>
      </c>
      <c r="I25" s="15">
        <v>0</v>
      </c>
      <c r="J25" s="15"/>
      <c r="K25" s="15"/>
      <c r="L25" s="15">
        <f t="shared" si="2"/>
        <v>7000</v>
      </c>
      <c r="M25" s="15">
        <f>326.02+160.44</f>
        <v>486.46</v>
      </c>
      <c r="N25" s="15">
        <f t="shared" si="1"/>
        <v>6513.54</v>
      </c>
      <c r="O25" s="15"/>
      <c r="P25" s="15"/>
    </row>
    <row r="26" spans="1:16" ht="30" customHeight="1" x14ac:dyDescent="0.25">
      <c r="A26" s="1">
        <v>15</v>
      </c>
      <c r="B26" s="2" t="s">
        <v>7</v>
      </c>
      <c r="C26" s="8" t="s">
        <v>12</v>
      </c>
      <c r="D26" s="1" t="s">
        <v>5</v>
      </c>
      <c r="E26" s="2" t="s">
        <v>34</v>
      </c>
      <c r="F26" s="15">
        <v>3166.38</v>
      </c>
      <c r="G26" s="15">
        <v>158.34</v>
      </c>
      <c r="H26" s="15">
        <v>1550</v>
      </c>
      <c r="I26" s="15">
        <v>0</v>
      </c>
      <c r="J26" s="15"/>
      <c r="K26" s="15"/>
      <c r="L26" s="15">
        <f t="shared" si="2"/>
        <v>4874.72</v>
      </c>
      <c r="M26" s="15">
        <f>19.99+160.58</f>
        <v>180.57000000000002</v>
      </c>
      <c r="N26" s="15">
        <f t="shared" si="1"/>
        <v>4694.1500000000005</v>
      </c>
      <c r="O26" s="15"/>
      <c r="P26" s="15"/>
    </row>
    <row r="27" spans="1:16" ht="30" customHeight="1" x14ac:dyDescent="0.25">
      <c r="A27" s="1">
        <v>16</v>
      </c>
      <c r="B27" s="2">
        <v>11</v>
      </c>
      <c r="C27" s="8" t="s">
        <v>50</v>
      </c>
      <c r="D27" s="1" t="s">
        <v>51</v>
      </c>
      <c r="E27" s="2" t="s">
        <v>34</v>
      </c>
      <c r="F27" s="15">
        <v>3166.38</v>
      </c>
      <c r="G27" s="15">
        <v>158.34</v>
      </c>
      <c r="H27" s="15">
        <v>1449</v>
      </c>
      <c r="I27" s="15"/>
      <c r="J27" s="15"/>
      <c r="K27" s="15"/>
      <c r="L27" s="15">
        <f t="shared" si="2"/>
        <v>4773.72</v>
      </c>
      <c r="M27" s="15">
        <f>19.99+160.58</f>
        <v>180.57000000000002</v>
      </c>
      <c r="N27" s="15">
        <f t="shared" si="1"/>
        <v>4593.1500000000005</v>
      </c>
      <c r="O27" s="15"/>
      <c r="P27" s="15"/>
    </row>
    <row r="28" spans="1:16" ht="30" customHeight="1" x14ac:dyDescent="0.25">
      <c r="A28" s="1">
        <v>17</v>
      </c>
      <c r="B28" s="2">
        <v>23</v>
      </c>
      <c r="C28" s="8" t="s">
        <v>64</v>
      </c>
      <c r="D28" s="1" t="s">
        <v>65</v>
      </c>
      <c r="E28" s="2" t="s">
        <v>34</v>
      </c>
      <c r="F28" s="15">
        <v>3531</v>
      </c>
      <c r="G28" s="15"/>
      <c r="H28" s="15">
        <v>250</v>
      </c>
      <c r="I28" s="15"/>
      <c r="J28" s="15"/>
      <c r="K28" s="15"/>
      <c r="L28" s="15">
        <f t="shared" si="2"/>
        <v>3781</v>
      </c>
      <c r="M28" s="15">
        <v>170.55</v>
      </c>
      <c r="N28" s="15">
        <f t="shared" si="1"/>
        <v>3610.45</v>
      </c>
      <c r="O28" s="15"/>
      <c r="P28" s="15"/>
    </row>
    <row r="29" spans="1:16" ht="30" customHeight="1" x14ac:dyDescent="0.25">
      <c r="A29" s="1">
        <v>18</v>
      </c>
      <c r="B29" s="2">
        <v>184</v>
      </c>
      <c r="C29" s="8" t="s">
        <v>61</v>
      </c>
      <c r="D29" s="8" t="s">
        <v>13</v>
      </c>
      <c r="E29" s="2" t="s">
        <v>34</v>
      </c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1:16" ht="30" customHeight="1" x14ac:dyDescent="0.25">
      <c r="A30" s="1">
        <v>19</v>
      </c>
      <c r="B30" s="2">
        <v>183</v>
      </c>
      <c r="C30" s="8" t="s">
        <v>52</v>
      </c>
      <c r="D30" s="1" t="s">
        <v>53</v>
      </c>
      <c r="E30" s="2" t="s">
        <v>34</v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2" spans="1:16" ht="15" customHeight="1" x14ac:dyDescent="0.25"/>
    <row r="34" spans="1:16" s="6" customFormat="1" ht="0.95" customHeight="1" x14ac:dyDescent="0.25">
      <c r="A34"/>
      <c r="B34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20"/>
    </row>
    <row r="35" spans="1:16" x14ac:dyDescent="0.25">
      <c r="C35" s="7" t="s">
        <v>14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</row>
    <row r="36" spans="1:16" x14ac:dyDescent="0.25">
      <c r="B36" s="5"/>
      <c r="C36" s="7" t="s">
        <v>58</v>
      </c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</row>
  </sheetData>
  <mergeCells count="14">
    <mergeCell ref="N11:N12"/>
    <mergeCell ref="O11:P11"/>
    <mergeCell ref="H11:H12"/>
    <mergeCell ref="I11:I12"/>
    <mergeCell ref="J11:J12"/>
    <mergeCell ref="K11:K12"/>
    <mergeCell ref="L11:L12"/>
    <mergeCell ref="M11:M12"/>
    <mergeCell ref="G11:G12"/>
    <mergeCell ref="A11:A12"/>
    <mergeCell ref="B11:B12"/>
    <mergeCell ref="D11:D12"/>
    <mergeCell ref="E11:E12"/>
    <mergeCell ref="F11:F12"/>
  </mergeCells>
  <printOptions horizontalCentered="1"/>
  <pageMargins left="0.19685039370078741" right="0.19685039370078741" top="0.39370078740157483" bottom="0.19685039370078741" header="0.19685039370078741" footer="0.19685039370078741"/>
  <pageSetup scale="5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690E9-CADA-4A90-91F7-886B13566BB7}">
  <dimension ref="A1:P36"/>
  <sheetViews>
    <sheetView showGridLines="0" topLeftCell="A2" zoomScale="85" zoomScaleNormal="85" workbookViewId="0">
      <selection activeCell="A16" sqref="A16"/>
    </sheetView>
  </sheetViews>
  <sheetFormatPr baseColWidth="10" defaultRowHeight="15" x14ac:dyDescent="0.25"/>
  <cols>
    <col min="1" max="1" width="3.28515625" customWidth="1"/>
    <col min="2" max="2" width="8.7109375" customWidth="1"/>
    <col min="3" max="3" width="25.7109375" customWidth="1"/>
    <col min="4" max="4" width="26.7109375" customWidth="1"/>
    <col min="5" max="5" width="8.7109375" customWidth="1"/>
    <col min="6" max="6" width="12.7109375" customWidth="1"/>
    <col min="7" max="10" width="11.7109375" customWidth="1"/>
    <col min="11" max="11" width="12.28515625" customWidth="1"/>
    <col min="12" max="12" width="12.7109375" customWidth="1"/>
    <col min="13" max="13" width="12.28515625" customWidth="1"/>
    <col min="14" max="16" width="12.7109375" customWidth="1"/>
  </cols>
  <sheetData>
    <row r="1" spans="1:16" ht="18.75" x14ac:dyDescent="0.3">
      <c r="A1" s="10"/>
      <c r="B1" s="10"/>
      <c r="C1" s="10"/>
      <c r="D1" s="10"/>
      <c r="E1" s="10"/>
      <c r="F1" s="10"/>
      <c r="G1" s="11"/>
      <c r="H1" s="10"/>
      <c r="I1" s="10"/>
      <c r="J1" s="10"/>
      <c r="K1" s="10"/>
      <c r="L1" s="10"/>
      <c r="M1" s="10"/>
      <c r="N1" s="10"/>
      <c r="O1" s="10"/>
      <c r="P1" s="10"/>
    </row>
    <row r="2" spans="1:16" ht="18.75" x14ac:dyDescent="0.3">
      <c r="A2" s="10"/>
      <c r="B2" s="10"/>
      <c r="C2" s="10"/>
      <c r="D2" s="10"/>
      <c r="E2" s="10"/>
      <c r="F2" s="10"/>
      <c r="G2" s="11"/>
      <c r="H2" s="10"/>
      <c r="I2" s="10"/>
      <c r="J2" s="10"/>
      <c r="K2" s="10"/>
      <c r="L2" s="10"/>
      <c r="M2" s="10"/>
      <c r="N2" s="10"/>
      <c r="O2" s="10"/>
      <c r="P2" s="10"/>
    </row>
    <row r="3" spans="1:16" ht="18.75" x14ac:dyDescent="0.3">
      <c r="A3" s="10"/>
      <c r="B3" s="10"/>
      <c r="C3" s="10"/>
      <c r="D3" s="10"/>
      <c r="E3" s="10"/>
      <c r="F3" s="10"/>
      <c r="G3" s="11"/>
      <c r="H3" s="10"/>
      <c r="I3" s="10"/>
      <c r="J3" s="10"/>
      <c r="K3" s="10"/>
      <c r="L3" s="10"/>
      <c r="M3" s="10"/>
      <c r="N3" s="10"/>
      <c r="O3" s="10"/>
      <c r="P3" s="10"/>
    </row>
    <row r="4" spans="1:16" ht="18.75" x14ac:dyDescent="0.3">
      <c r="A4" s="10"/>
      <c r="B4" s="10"/>
      <c r="C4" s="10"/>
      <c r="D4" s="10"/>
      <c r="E4" s="10"/>
      <c r="F4" s="10"/>
      <c r="G4" s="11"/>
      <c r="H4" s="10"/>
      <c r="I4" s="10"/>
      <c r="J4" s="10"/>
      <c r="K4" s="10"/>
      <c r="L4" s="10"/>
      <c r="M4" s="10"/>
      <c r="N4" s="10"/>
      <c r="O4" s="10"/>
      <c r="P4" s="10"/>
    </row>
    <row r="5" spans="1:16" ht="18.75" x14ac:dyDescent="0.3">
      <c r="A5" s="10"/>
      <c r="B5" s="10"/>
      <c r="C5" s="10"/>
      <c r="D5" s="10"/>
      <c r="E5" s="10"/>
      <c r="F5" s="10"/>
      <c r="G5" s="11"/>
      <c r="H5" s="10"/>
      <c r="I5" s="10"/>
      <c r="J5" s="10"/>
      <c r="K5" s="10"/>
      <c r="L5" s="10"/>
      <c r="M5" s="10"/>
      <c r="N5" s="10"/>
      <c r="O5" s="10"/>
      <c r="P5" s="10"/>
    </row>
    <row r="6" spans="1:16" ht="18.75" x14ac:dyDescent="0.3">
      <c r="A6" s="10"/>
      <c r="B6" s="10"/>
      <c r="C6" s="10"/>
      <c r="D6" s="10"/>
      <c r="E6" s="10"/>
      <c r="F6" s="10"/>
      <c r="G6" s="21"/>
      <c r="H6" s="10"/>
      <c r="I6" s="10"/>
      <c r="J6" s="10"/>
      <c r="K6" s="10"/>
      <c r="L6" s="10"/>
      <c r="M6" s="10"/>
      <c r="N6" s="10"/>
      <c r="O6" s="10"/>
      <c r="P6" s="10"/>
    </row>
    <row r="7" spans="1:16" ht="18.75" x14ac:dyDescent="0.3">
      <c r="A7" s="10" t="s">
        <v>8</v>
      </c>
      <c r="B7" s="10"/>
      <c r="C7" s="10"/>
      <c r="D7" s="10"/>
      <c r="E7" s="10"/>
      <c r="F7" s="10"/>
      <c r="G7" s="11"/>
      <c r="H7" s="10"/>
      <c r="I7" s="10"/>
      <c r="J7" s="10"/>
      <c r="K7" s="10"/>
      <c r="L7" s="10"/>
      <c r="M7" s="10"/>
      <c r="N7" s="10"/>
      <c r="O7" s="10"/>
      <c r="P7" s="10"/>
    </row>
    <row r="8" spans="1:16" ht="18.75" x14ac:dyDescent="0.3">
      <c r="A8" s="10" t="s">
        <v>67</v>
      </c>
      <c r="B8" s="10"/>
      <c r="C8" s="10"/>
      <c r="D8" s="10"/>
      <c r="E8" s="10"/>
      <c r="F8" s="10"/>
      <c r="G8" s="11"/>
      <c r="H8" s="10"/>
      <c r="I8" s="10"/>
      <c r="J8" s="10"/>
      <c r="K8" s="10"/>
      <c r="L8" s="10"/>
      <c r="M8" s="10"/>
      <c r="N8" s="10"/>
      <c r="O8" s="10"/>
      <c r="P8" s="10"/>
    </row>
    <row r="9" spans="1:16" ht="15.75" x14ac:dyDescent="0.25">
      <c r="A9" s="17" t="s">
        <v>15</v>
      </c>
      <c r="B9" s="4"/>
      <c r="C9" s="4"/>
      <c r="D9" s="4"/>
      <c r="E9" s="4"/>
      <c r="F9" s="4"/>
      <c r="G9" s="12"/>
      <c r="H9" s="4"/>
      <c r="I9" s="4"/>
      <c r="J9" s="4"/>
      <c r="K9" s="4"/>
      <c r="L9" s="4"/>
      <c r="M9" s="4"/>
      <c r="N9" s="4"/>
      <c r="O9" s="4"/>
      <c r="P9" s="4"/>
    </row>
    <row r="10" spans="1:16" ht="15" customHeight="1" x14ac:dyDescent="0.25">
      <c r="A10" s="14"/>
      <c r="B10" s="4"/>
      <c r="C10" s="4"/>
      <c r="D10" s="12"/>
      <c r="E10" s="4"/>
      <c r="F10" s="4"/>
      <c r="G10" s="4"/>
      <c r="H10" s="4"/>
      <c r="I10" s="4"/>
      <c r="J10" s="4"/>
      <c r="K10" s="4"/>
      <c r="L10" s="4"/>
      <c r="M10" s="4"/>
    </row>
    <row r="11" spans="1:16" ht="30" customHeight="1" x14ac:dyDescent="0.25">
      <c r="A11" s="22" t="s">
        <v>21</v>
      </c>
      <c r="B11" s="23" t="s">
        <v>22</v>
      </c>
      <c r="C11" s="19" t="s">
        <v>23</v>
      </c>
      <c r="D11" s="26" t="s">
        <v>24</v>
      </c>
      <c r="E11" s="27" t="s">
        <v>25</v>
      </c>
      <c r="F11" s="22" t="s">
        <v>35</v>
      </c>
      <c r="G11" s="22" t="s">
        <v>36</v>
      </c>
      <c r="H11" s="22" t="s">
        <v>38</v>
      </c>
      <c r="I11" s="22" t="s">
        <v>37</v>
      </c>
      <c r="J11" s="22" t="s">
        <v>26</v>
      </c>
      <c r="K11" s="22" t="s">
        <v>27</v>
      </c>
      <c r="L11" s="22" t="s">
        <v>28</v>
      </c>
      <c r="M11" s="22" t="s">
        <v>29</v>
      </c>
      <c r="N11" s="22" t="s">
        <v>30</v>
      </c>
      <c r="O11" s="24" t="s">
        <v>31</v>
      </c>
      <c r="P11" s="25"/>
    </row>
    <row r="12" spans="1:16" ht="48" customHeight="1" x14ac:dyDescent="0.25">
      <c r="A12" s="22"/>
      <c r="B12" s="23"/>
      <c r="C12" s="19" t="s">
        <v>33</v>
      </c>
      <c r="D12" s="26"/>
      <c r="E12" s="28"/>
      <c r="F12" s="22"/>
      <c r="G12" s="22"/>
      <c r="H12" s="22"/>
      <c r="I12" s="23"/>
      <c r="J12" s="22"/>
      <c r="K12" s="23"/>
      <c r="L12" s="23"/>
      <c r="M12" s="23"/>
      <c r="N12" s="23"/>
      <c r="O12" s="18" t="s">
        <v>32</v>
      </c>
      <c r="P12" s="18" t="s">
        <v>39</v>
      </c>
    </row>
    <row r="13" spans="1:16" ht="30" customHeight="1" x14ac:dyDescent="0.25">
      <c r="A13" s="1">
        <v>1</v>
      </c>
      <c r="B13" s="16" t="s">
        <v>16</v>
      </c>
      <c r="C13" s="8" t="s">
        <v>40</v>
      </c>
      <c r="D13" s="1" t="s">
        <v>17</v>
      </c>
      <c r="E13" s="2" t="s">
        <v>34</v>
      </c>
      <c r="F13" s="3">
        <v>0</v>
      </c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ht="30" customHeight="1" x14ac:dyDescent="0.25">
      <c r="A14" s="1">
        <f>A13+1</f>
        <v>2</v>
      </c>
      <c r="B14" s="16" t="s">
        <v>16</v>
      </c>
      <c r="C14" s="9" t="s">
        <v>41</v>
      </c>
      <c r="D14" s="1" t="s">
        <v>18</v>
      </c>
      <c r="E14" s="2" t="s">
        <v>34</v>
      </c>
      <c r="F14" s="3">
        <v>0</v>
      </c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ht="30" customHeight="1" x14ac:dyDescent="0.25">
      <c r="A15" s="1">
        <v>3</v>
      </c>
      <c r="B15" s="16" t="s">
        <v>16</v>
      </c>
      <c r="C15" s="9" t="s">
        <v>48</v>
      </c>
      <c r="D15" s="1" t="s">
        <v>19</v>
      </c>
      <c r="E15" s="2" t="s">
        <v>34</v>
      </c>
      <c r="F15" s="3">
        <v>0</v>
      </c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30" customHeight="1" x14ac:dyDescent="0.25">
      <c r="A16" s="1">
        <f t="shared" ref="A16:A25" si="0">A15+1</f>
        <v>4</v>
      </c>
      <c r="B16" s="16" t="s">
        <v>16</v>
      </c>
      <c r="C16" s="9" t="s">
        <v>49</v>
      </c>
      <c r="D16" s="1" t="s">
        <v>20</v>
      </c>
      <c r="E16" s="2" t="s">
        <v>34</v>
      </c>
      <c r="F16" s="15">
        <v>0</v>
      </c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1:16" ht="30" customHeight="1" x14ac:dyDescent="0.25">
      <c r="A17" s="1">
        <f t="shared" si="0"/>
        <v>5</v>
      </c>
      <c r="B17" s="2" t="s">
        <v>7</v>
      </c>
      <c r="C17" s="8" t="s">
        <v>43</v>
      </c>
      <c r="D17" s="1" t="s">
        <v>0</v>
      </c>
      <c r="E17" s="2" t="s">
        <v>34</v>
      </c>
      <c r="F17" s="15">
        <v>7500</v>
      </c>
      <c r="G17" s="15">
        <v>0</v>
      </c>
      <c r="H17" s="15">
        <v>4500</v>
      </c>
      <c r="I17" s="15"/>
      <c r="J17" s="15">
        <v>375</v>
      </c>
      <c r="K17" s="15"/>
      <c r="L17" s="15">
        <f>SUM(F17:K17)</f>
        <v>12375</v>
      </c>
      <c r="M17" s="15">
        <f>362.25+289.81</f>
        <v>652.05999999999995</v>
      </c>
      <c r="N17" s="15">
        <f t="shared" ref="N17:N28" si="1">+L17-M17</f>
        <v>11722.94</v>
      </c>
      <c r="O17" s="15"/>
      <c r="P17" s="15"/>
    </row>
    <row r="18" spans="1:16" ht="30" customHeight="1" x14ac:dyDescent="0.25">
      <c r="A18" s="1">
        <f t="shared" si="0"/>
        <v>6</v>
      </c>
      <c r="B18" s="2" t="s">
        <v>7</v>
      </c>
      <c r="C18" s="8" t="s">
        <v>6</v>
      </c>
      <c r="D18" s="1" t="s">
        <v>42</v>
      </c>
      <c r="E18" s="2" t="s">
        <v>34</v>
      </c>
      <c r="F18" s="15">
        <v>10966</v>
      </c>
      <c r="G18" s="15">
        <v>502.59</v>
      </c>
      <c r="H18" s="15">
        <v>1550</v>
      </c>
      <c r="I18" s="15">
        <v>0</v>
      </c>
      <c r="J18" s="15">
        <v>375</v>
      </c>
      <c r="K18" s="15"/>
      <c r="L18" s="15">
        <f t="shared" ref="L18:L28" si="2">SUM(F18:K18)</f>
        <v>13393.59</v>
      </c>
      <c r="M18" s="15">
        <f>553.93+418.27</f>
        <v>972.19999999999993</v>
      </c>
      <c r="N18" s="15">
        <f t="shared" si="1"/>
        <v>12421.39</v>
      </c>
      <c r="O18" s="15"/>
      <c r="P18" s="15"/>
    </row>
    <row r="19" spans="1:16" ht="30" customHeight="1" x14ac:dyDescent="0.25">
      <c r="A19" s="1">
        <f t="shared" si="0"/>
        <v>7</v>
      </c>
      <c r="B19" s="2" t="s">
        <v>7</v>
      </c>
      <c r="C19" s="8" t="s">
        <v>44</v>
      </c>
      <c r="D19" s="8" t="s">
        <v>45</v>
      </c>
      <c r="E19" s="2" t="s">
        <v>34</v>
      </c>
      <c r="F19" s="15">
        <v>7500</v>
      </c>
      <c r="G19" s="15"/>
      <c r="H19" s="15">
        <v>1500</v>
      </c>
      <c r="I19" s="15">
        <v>0</v>
      </c>
      <c r="J19" s="15">
        <v>375</v>
      </c>
      <c r="K19" s="15"/>
      <c r="L19" s="15">
        <f t="shared" si="2"/>
        <v>9375</v>
      </c>
      <c r="M19" s="15">
        <f>362.25+126+257.21</f>
        <v>745.46</v>
      </c>
      <c r="N19" s="15">
        <f t="shared" si="1"/>
        <v>8629.5400000000009</v>
      </c>
      <c r="O19" s="15"/>
      <c r="P19" s="15"/>
    </row>
    <row r="20" spans="1:16" ht="30" customHeight="1" x14ac:dyDescent="0.25">
      <c r="A20" s="1">
        <f t="shared" si="0"/>
        <v>8</v>
      </c>
      <c r="B20" s="2" t="s">
        <v>7</v>
      </c>
      <c r="C20" s="8" t="s">
        <v>9</v>
      </c>
      <c r="D20" s="1" t="s">
        <v>2</v>
      </c>
      <c r="E20" s="2" t="s">
        <v>34</v>
      </c>
      <c r="F20" s="15">
        <v>4243</v>
      </c>
      <c r="G20" s="15"/>
      <c r="H20" s="15">
        <v>1550</v>
      </c>
      <c r="I20" s="15">
        <v>500</v>
      </c>
      <c r="J20" s="15">
        <v>0</v>
      </c>
      <c r="K20" s="15"/>
      <c r="L20" s="15">
        <f t="shared" si="2"/>
        <v>6293</v>
      </c>
      <c r="M20" s="15">
        <f>204.94+84.58+116.49</f>
        <v>406.01</v>
      </c>
      <c r="N20" s="15">
        <f t="shared" si="1"/>
        <v>5886.99</v>
      </c>
      <c r="O20" s="15"/>
      <c r="P20" s="15"/>
    </row>
    <row r="21" spans="1:16" ht="30" customHeight="1" x14ac:dyDescent="0.25">
      <c r="A21" s="1">
        <f t="shared" si="0"/>
        <v>9</v>
      </c>
      <c r="B21" s="2" t="s">
        <v>7</v>
      </c>
      <c r="C21" s="8" t="s">
        <v>46</v>
      </c>
      <c r="D21" s="1" t="s">
        <v>3</v>
      </c>
      <c r="E21" s="2" t="s">
        <v>34</v>
      </c>
      <c r="F21" s="15">
        <v>3166.38</v>
      </c>
      <c r="G21" s="15">
        <v>145.15</v>
      </c>
      <c r="H21" s="15">
        <v>1550</v>
      </c>
      <c r="I21" s="15">
        <v>0</v>
      </c>
      <c r="J21" s="15">
        <v>0</v>
      </c>
      <c r="K21" s="15"/>
      <c r="L21" s="15">
        <f t="shared" si="2"/>
        <v>4861.5300000000007</v>
      </c>
      <c r="M21" s="15">
        <f>159.95+61.42+24.21</f>
        <v>245.58</v>
      </c>
      <c r="N21" s="15">
        <f>+L21-M21</f>
        <v>4615.9500000000007</v>
      </c>
      <c r="O21" s="15"/>
      <c r="P21" s="15"/>
    </row>
    <row r="22" spans="1:16" ht="30" customHeight="1" x14ac:dyDescent="0.25">
      <c r="A22" s="1">
        <f t="shared" si="0"/>
        <v>10</v>
      </c>
      <c r="B22" s="2" t="s">
        <v>7</v>
      </c>
      <c r="C22" s="8" t="s">
        <v>47</v>
      </c>
      <c r="D22" s="1" t="s">
        <v>1</v>
      </c>
      <c r="E22" s="2" t="s">
        <v>34</v>
      </c>
      <c r="F22" s="15"/>
      <c r="G22" s="15"/>
      <c r="H22" s="15"/>
      <c r="I22" s="15">
        <v>0</v>
      </c>
      <c r="J22" s="15">
        <v>0</v>
      </c>
      <c r="K22" s="15"/>
      <c r="L22" s="15">
        <f t="shared" si="2"/>
        <v>0</v>
      </c>
      <c r="M22" s="15"/>
      <c r="N22" s="15">
        <f t="shared" si="1"/>
        <v>0</v>
      </c>
      <c r="O22" s="15" t="s">
        <v>68</v>
      </c>
      <c r="P22" s="15"/>
    </row>
    <row r="23" spans="1:16" ht="30" customHeight="1" x14ac:dyDescent="0.25">
      <c r="A23" s="1">
        <f t="shared" si="0"/>
        <v>11</v>
      </c>
      <c r="B23" s="2" t="s">
        <v>7</v>
      </c>
      <c r="C23" s="8" t="s">
        <v>10</v>
      </c>
      <c r="D23" s="1" t="s">
        <v>56</v>
      </c>
      <c r="E23" s="2" t="s">
        <v>34</v>
      </c>
      <c r="F23" s="15">
        <v>5697</v>
      </c>
      <c r="G23" s="15">
        <v>261.14</v>
      </c>
      <c r="H23" s="15">
        <v>1800</v>
      </c>
      <c r="I23" s="15">
        <v>500</v>
      </c>
      <c r="J23" s="15"/>
      <c r="K23" s="15"/>
      <c r="L23" s="15">
        <f>SUM(F23:K23)</f>
        <v>8258.14</v>
      </c>
      <c r="M23" s="15">
        <f>287.78+175.6</f>
        <v>463.38</v>
      </c>
      <c r="N23" s="15">
        <f t="shared" si="1"/>
        <v>7794.7599999999993</v>
      </c>
      <c r="O23" s="15"/>
      <c r="P23" s="15"/>
    </row>
    <row r="24" spans="1:16" ht="30" customHeight="1" x14ac:dyDescent="0.25">
      <c r="A24" s="1">
        <f t="shared" si="0"/>
        <v>12</v>
      </c>
      <c r="B24" s="2" t="s">
        <v>7</v>
      </c>
      <c r="C24" s="8" t="s">
        <v>11</v>
      </c>
      <c r="D24" s="1" t="s">
        <v>4</v>
      </c>
      <c r="E24" s="2" t="s">
        <v>34</v>
      </c>
      <c r="F24" s="15">
        <v>7392</v>
      </c>
      <c r="G24" s="15">
        <v>338.8</v>
      </c>
      <c r="H24" s="15">
        <v>2300</v>
      </c>
      <c r="I24" s="15">
        <v>500</v>
      </c>
      <c r="J24" s="15"/>
      <c r="K24" s="15"/>
      <c r="L24" s="15">
        <f t="shared" si="2"/>
        <v>10530.8</v>
      </c>
      <c r="M24" s="15">
        <f>373.4+301.57</f>
        <v>674.97</v>
      </c>
      <c r="N24" s="15">
        <f t="shared" si="1"/>
        <v>9855.83</v>
      </c>
      <c r="O24" s="15"/>
      <c r="P24" s="15"/>
    </row>
    <row r="25" spans="1:16" ht="30" customHeight="1" x14ac:dyDescent="0.25">
      <c r="A25" s="1">
        <f t="shared" si="0"/>
        <v>13</v>
      </c>
      <c r="B25" s="2" t="s">
        <v>7</v>
      </c>
      <c r="C25" s="8" t="s">
        <v>54</v>
      </c>
      <c r="D25" s="1" t="s">
        <v>55</v>
      </c>
      <c r="E25" s="2" t="s">
        <v>34</v>
      </c>
      <c r="F25" s="15">
        <v>6750</v>
      </c>
      <c r="G25" s="15"/>
      <c r="H25" s="15">
        <v>250</v>
      </c>
      <c r="I25" s="15">
        <v>0</v>
      </c>
      <c r="J25" s="15"/>
      <c r="K25" s="15"/>
      <c r="L25" s="15">
        <f t="shared" si="2"/>
        <v>7000</v>
      </c>
      <c r="M25" s="15">
        <f>326.02+160.44</f>
        <v>486.46</v>
      </c>
      <c r="N25" s="15">
        <f t="shared" si="1"/>
        <v>6513.54</v>
      </c>
      <c r="O25" s="15"/>
      <c r="P25" s="15"/>
    </row>
    <row r="26" spans="1:16" ht="30" customHeight="1" x14ac:dyDescent="0.25">
      <c r="A26" s="1">
        <v>15</v>
      </c>
      <c r="B26" s="2" t="s">
        <v>7</v>
      </c>
      <c r="C26" s="8" t="s">
        <v>12</v>
      </c>
      <c r="D26" s="1" t="s">
        <v>5</v>
      </c>
      <c r="E26" s="2" t="s">
        <v>34</v>
      </c>
      <c r="F26" s="15">
        <v>3166.38</v>
      </c>
      <c r="G26" s="15">
        <v>145.15</v>
      </c>
      <c r="H26" s="15">
        <v>1550</v>
      </c>
      <c r="I26" s="15">
        <v>0</v>
      </c>
      <c r="J26" s="15"/>
      <c r="K26" s="15"/>
      <c r="L26" s="15">
        <f t="shared" si="2"/>
        <v>4861.5300000000007</v>
      </c>
      <c r="M26" s="15">
        <f>159.95+20.98</f>
        <v>180.92999999999998</v>
      </c>
      <c r="N26" s="15">
        <f t="shared" si="1"/>
        <v>4680.6000000000004</v>
      </c>
      <c r="O26" s="15"/>
      <c r="P26" s="15"/>
    </row>
    <row r="27" spans="1:16" ht="30" customHeight="1" x14ac:dyDescent="0.25">
      <c r="A27" s="1">
        <v>16</v>
      </c>
      <c r="B27" s="2">
        <v>11</v>
      </c>
      <c r="C27" s="8" t="s">
        <v>50</v>
      </c>
      <c r="D27" s="1" t="s">
        <v>51</v>
      </c>
      <c r="E27" s="2" t="s">
        <v>34</v>
      </c>
      <c r="F27" s="15">
        <v>3166.38</v>
      </c>
      <c r="G27" s="15">
        <v>145.15</v>
      </c>
      <c r="H27" s="15">
        <v>1449</v>
      </c>
      <c r="I27" s="15"/>
      <c r="J27" s="15"/>
      <c r="K27" s="15"/>
      <c r="L27" s="15">
        <f t="shared" si="2"/>
        <v>4760.5300000000007</v>
      </c>
      <c r="M27" s="15">
        <f>159.95+20.07</f>
        <v>180.01999999999998</v>
      </c>
      <c r="N27" s="15">
        <f t="shared" si="1"/>
        <v>4580.51</v>
      </c>
      <c r="O27" s="15"/>
      <c r="P27" s="15"/>
    </row>
    <row r="28" spans="1:16" ht="30" customHeight="1" x14ac:dyDescent="0.25">
      <c r="A28" s="1">
        <v>17</v>
      </c>
      <c r="B28" s="2">
        <v>23</v>
      </c>
      <c r="C28" s="8" t="s">
        <v>64</v>
      </c>
      <c r="D28" s="1" t="s">
        <v>65</v>
      </c>
      <c r="E28" s="2" t="s">
        <v>34</v>
      </c>
      <c r="F28" s="15">
        <v>3531</v>
      </c>
      <c r="G28" s="15"/>
      <c r="H28" s="15">
        <v>250</v>
      </c>
      <c r="I28" s="15"/>
      <c r="J28" s="15"/>
      <c r="K28" s="15"/>
      <c r="L28" s="15">
        <f t="shared" si="2"/>
        <v>3781</v>
      </c>
      <c r="M28" s="15">
        <v>170.55</v>
      </c>
      <c r="N28" s="15">
        <f t="shared" si="1"/>
        <v>3610.45</v>
      </c>
      <c r="O28" s="15"/>
      <c r="P28" s="15"/>
    </row>
    <row r="29" spans="1:16" ht="30" customHeight="1" x14ac:dyDescent="0.25">
      <c r="A29" s="1">
        <v>18</v>
      </c>
      <c r="B29" s="2">
        <v>184</v>
      </c>
      <c r="C29" s="8" t="s">
        <v>61</v>
      </c>
      <c r="D29" s="8" t="s">
        <v>13</v>
      </c>
      <c r="E29" s="2" t="s">
        <v>34</v>
      </c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1:16" ht="30" customHeight="1" x14ac:dyDescent="0.25">
      <c r="A30" s="1">
        <v>19</v>
      </c>
      <c r="B30" s="2">
        <v>183</v>
      </c>
      <c r="C30" s="8" t="s">
        <v>52</v>
      </c>
      <c r="D30" s="1" t="s">
        <v>53</v>
      </c>
      <c r="E30" s="2" t="s">
        <v>34</v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2" spans="1:16" ht="15" customHeight="1" x14ac:dyDescent="0.25"/>
    <row r="34" spans="1:16" s="6" customFormat="1" ht="0.95" customHeight="1" x14ac:dyDescent="0.25">
      <c r="A34"/>
      <c r="B34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20"/>
    </row>
    <row r="35" spans="1:16" x14ac:dyDescent="0.25">
      <c r="C35" s="7" t="s">
        <v>14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</row>
    <row r="36" spans="1:16" x14ac:dyDescent="0.25">
      <c r="B36" s="5"/>
      <c r="C36" s="7" t="s">
        <v>58</v>
      </c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</row>
  </sheetData>
  <mergeCells count="14">
    <mergeCell ref="G11:G12"/>
    <mergeCell ref="A11:A12"/>
    <mergeCell ref="B11:B12"/>
    <mergeCell ref="D11:D12"/>
    <mergeCell ref="E11:E12"/>
    <mergeCell ref="F11:F12"/>
    <mergeCell ref="N11:N12"/>
    <mergeCell ref="O11:P11"/>
    <mergeCell ref="H11:H12"/>
    <mergeCell ref="I11:I12"/>
    <mergeCell ref="J11:J12"/>
    <mergeCell ref="K11:K12"/>
    <mergeCell ref="L11:L12"/>
    <mergeCell ref="M11:M12"/>
  </mergeCells>
  <printOptions horizontalCentered="1"/>
  <pageMargins left="0.19685039370078741" right="0.19685039370078741" top="0.39370078740157483" bottom="0.19685039370078741" header="0.19685039370078741" footer="0.19685039370078741"/>
  <pageSetup scale="5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F4D57-3D6D-44CA-9978-A9B2715764E8}">
  <dimension ref="A1:P36"/>
  <sheetViews>
    <sheetView showGridLines="0" topLeftCell="A5" zoomScale="85" zoomScaleNormal="85" workbookViewId="0">
      <selection activeCell="A16" sqref="A16"/>
    </sheetView>
  </sheetViews>
  <sheetFormatPr baseColWidth="10" defaultRowHeight="15" x14ac:dyDescent="0.25"/>
  <cols>
    <col min="1" max="1" width="3.28515625" customWidth="1"/>
    <col min="2" max="2" width="8.7109375" customWidth="1"/>
    <col min="3" max="3" width="25.7109375" customWidth="1"/>
    <col min="4" max="4" width="26.7109375" customWidth="1"/>
    <col min="5" max="5" width="8.7109375" customWidth="1"/>
    <col min="6" max="6" width="12.7109375" customWidth="1"/>
    <col min="7" max="10" width="11.7109375" customWidth="1"/>
    <col min="11" max="11" width="12.28515625" customWidth="1"/>
    <col min="12" max="12" width="12.7109375" customWidth="1"/>
    <col min="13" max="13" width="12.28515625" customWidth="1"/>
    <col min="14" max="16" width="12.7109375" customWidth="1"/>
  </cols>
  <sheetData>
    <row r="1" spans="1:16" ht="18.75" x14ac:dyDescent="0.3">
      <c r="A1" s="10"/>
      <c r="B1" s="10"/>
      <c r="C1" s="10"/>
      <c r="D1" s="10"/>
      <c r="E1" s="10"/>
      <c r="F1" s="10"/>
      <c r="G1" s="11"/>
      <c r="H1" s="10"/>
      <c r="I1" s="10"/>
      <c r="J1" s="10"/>
      <c r="K1" s="10"/>
      <c r="L1" s="10"/>
      <c r="M1" s="10"/>
      <c r="N1" s="10"/>
      <c r="O1" s="10"/>
      <c r="P1" s="10"/>
    </row>
    <row r="2" spans="1:16" ht="18.75" x14ac:dyDescent="0.3">
      <c r="A2" s="10"/>
      <c r="B2" s="10"/>
      <c r="C2" s="10"/>
      <c r="D2" s="10"/>
      <c r="E2" s="10"/>
      <c r="F2" s="10"/>
      <c r="G2" s="11"/>
      <c r="H2" s="10"/>
      <c r="I2" s="10"/>
      <c r="J2" s="10"/>
      <c r="K2" s="10"/>
      <c r="L2" s="10"/>
      <c r="M2" s="10"/>
      <c r="N2" s="10"/>
      <c r="O2" s="10"/>
      <c r="P2" s="10"/>
    </row>
    <row r="3" spans="1:16" ht="18.75" x14ac:dyDescent="0.3">
      <c r="A3" s="10"/>
      <c r="B3" s="10"/>
      <c r="C3" s="10"/>
      <c r="D3" s="10"/>
      <c r="E3" s="10"/>
      <c r="F3" s="10"/>
      <c r="G3" s="11"/>
      <c r="H3" s="10"/>
      <c r="I3" s="10"/>
      <c r="J3" s="10"/>
      <c r="K3" s="10"/>
      <c r="L3" s="10"/>
      <c r="M3" s="10"/>
      <c r="N3" s="10"/>
      <c r="O3" s="10"/>
      <c r="P3" s="10"/>
    </row>
    <row r="4" spans="1:16" ht="18.75" x14ac:dyDescent="0.3">
      <c r="A4" s="10"/>
      <c r="B4" s="10"/>
      <c r="C4" s="10"/>
      <c r="D4" s="10"/>
      <c r="E4" s="10"/>
      <c r="F4" s="10"/>
      <c r="G4" s="11"/>
      <c r="H4" s="10"/>
      <c r="I4" s="10"/>
      <c r="J4" s="10"/>
      <c r="K4" s="10"/>
      <c r="L4" s="10"/>
      <c r="M4" s="10"/>
      <c r="N4" s="10"/>
      <c r="O4" s="10"/>
      <c r="P4" s="10"/>
    </row>
    <row r="5" spans="1:16" ht="18.75" x14ac:dyDescent="0.3">
      <c r="A5" s="10"/>
      <c r="B5" s="10"/>
      <c r="C5" s="10"/>
      <c r="D5" s="10"/>
      <c r="E5" s="10"/>
      <c r="F5" s="10"/>
      <c r="G5" s="11"/>
      <c r="H5" s="10"/>
      <c r="I5" s="10"/>
      <c r="J5" s="10"/>
      <c r="K5" s="10"/>
      <c r="L5" s="10"/>
      <c r="M5" s="10"/>
      <c r="N5" s="10"/>
      <c r="O5" s="10"/>
      <c r="P5" s="10"/>
    </row>
    <row r="6" spans="1:16" ht="18.75" x14ac:dyDescent="0.3">
      <c r="A6" s="10"/>
      <c r="B6" s="10"/>
      <c r="C6" s="10"/>
      <c r="D6" s="10"/>
      <c r="E6" s="10"/>
      <c r="F6" s="10"/>
      <c r="G6" s="21"/>
      <c r="H6" s="10"/>
      <c r="I6" s="10"/>
      <c r="J6" s="10"/>
      <c r="K6" s="10"/>
      <c r="L6" s="10"/>
      <c r="M6" s="10"/>
      <c r="N6" s="10"/>
      <c r="O6" s="10"/>
      <c r="P6" s="10"/>
    </row>
    <row r="7" spans="1:16" ht="18.75" x14ac:dyDescent="0.3">
      <c r="A7" s="10" t="s">
        <v>8</v>
      </c>
      <c r="B7" s="10"/>
      <c r="C7" s="10"/>
      <c r="D7" s="10"/>
      <c r="E7" s="10"/>
      <c r="F7" s="10"/>
      <c r="G7" s="11"/>
      <c r="H7" s="10"/>
      <c r="I7" s="10"/>
      <c r="J7" s="10"/>
      <c r="K7" s="10"/>
      <c r="L7" s="10"/>
      <c r="M7" s="10"/>
      <c r="N7" s="10"/>
      <c r="O7" s="10"/>
      <c r="P7" s="10"/>
    </row>
    <row r="8" spans="1:16" ht="18.75" x14ac:dyDescent="0.3">
      <c r="A8" s="10" t="s">
        <v>69</v>
      </c>
      <c r="B8" s="10"/>
      <c r="C8" s="10"/>
      <c r="D8" s="10"/>
      <c r="E8" s="10"/>
      <c r="F8" s="10"/>
      <c r="G8" s="11"/>
      <c r="H8" s="10"/>
      <c r="I8" s="10"/>
      <c r="J8" s="10"/>
      <c r="K8" s="10"/>
      <c r="L8" s="10"/>
      <c r="M8" s="10"/>
      <c r="N8" s="10"/>
      <c r="O8" s="10"/>
      <c r="P8" s="10"/>
    </row>
    <row r="9" spans="1:16" ht="15.75" x14ac:dyDescent="0.25">
      <c r="A9" s="17" t="s">
        <v>15</v>
      </c>
      <c r="B9" s="4"/>
      <c r="C9" s="4"/>
      <c r="D9" s="4"/>
      <c r="E9" s="4"/>
      <c r="F9" s="4"/>
      <c r="G9" s="12"/>
      <c r="H9" s="4"/>
      <c r="I9" s="4"/>
      <c r="J9" s="4"/>
      <c r="K9" s="4"/>
      <c r="L9" s="4"/>
      <c r="M9" s="4"/>
      <c r="N9" s="4"/>
      <c r="O9" s="4"/>
      <c r="P9" s="4"/>
    </row>
    <row r="10" spans="1:16" ht="15" customHeight="1" x14ac:dyDescent="0.25">
      <c r="A10" s="14"/>
      <c r="B10" s="4"/>
      <c r="C10" s="4"/>
      <c r="D10" s="12"/>
      <c r="E10" s="4"/>
      <c r="F10" s="4"/>
      <c r="G10" s="4"/>
      <c r="H10" s="4"/>
      <c r="I10" s="4"/>
      <c r="J10" s="4"/>
      <c r="K10" s="4"/>
      <c r="L10" s="4"/>
      <c r="M10" s="4"/>
    </row>
    <row r="11" spans="1:16" ht="30" customHeight="1" x14ac:dyDescent="0.25">
      <c r="A11" s="22" t="s">
        <v>21</v>
      </c>
      <c r="B11" s="23" t="s">
        <v>22</v>
      </c>
      <c r="C11" s="19" t="s">
        <v>23</v>
      </c>
      <c r="D11" s="26" t="s">
        <v>24</v>
      </c>
      <c r="E11" s="27" t="s">
        <v>25</v>
      </c>
      <c r="F11" s="22" t="s">
        <v>35</v>
      </c>
      <c r="G11" s="22" t="s">
        <v>36</v>
      </c>
      <c r="H11" s="22" t="s">
        <v>38</v>
      </c>
      <c r="I11" s="22" t="s">
        <v>37</v>
      </c>
      <c r="J11" s="22" t="s">
        <v>26</v>
      </c>
      <c r="K11" s="22" t="s">
        <v>27</v>
      </c>
      <c r="L11" s="22" t="s">
        <v>28</v>
      </c>
      <c r="M11" s="22" t="s">
        <v>29</v>
      </c>
      <c r="N11" s="22" t="s">
        <v>30</v>
      </c>
      <c r="O11" s="24" t="s">
        <v>31</v>
      </c>
      <c r="P11" s="25"/>
    </row>
    <row r="12" spans="1:16" ht="48" customHeight="1" x14ac:dyDescent="0.25">
      <c r="A12" s="22"/>
      <c r="B12" s="23"/>
      <c r="C12" s="19" t="s">
        <v>33</v>
      </c>
      <c r="D12" s="26"/>
      <c r="E12" s="28"/>
      <c r="F12" s="22"/>
      <c r="G12" s="22"/>
      <c r="H12" s="22"/>
      <c r="I12" s="23"/>
      <c r="J12" s="22"/>
      <c r="K12" s="23"/>
      <c r="L12" s="23"/>
      <c r="M12" s="23"/>
      <c r="N12" s="23"/>
      <c r="O12" s="18" t="s">
        <v>32</v>
      </c>
      <c r="P12" s="18" t="s">
        <v>39</v>
      </c>
    </row>
    <row r="13" spans="1:16" ht="30" customHeight="1" x14ac:dyDescent="0.25">
      <c r="A13" s="1">
        <v>1</v>
      </c>
      <c r="B13" s="16" t="s">
        <v>16</v>
      </c>
      <c r="C13" s="8" t="s">
        <v>40</v>
      </c>
      <c r="D13" s="1" t="s">
        <v>17</v>
      </c>
      <c r="E13" s="2" t="s">
        <v>34</v>
      </c>
      <c r="F13" s="3">
        <v>0</v>
      </c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ht="30" customHeight="1" x14ac:dyDescent="0.25">
      <c r="A14" s="1">
        <f>A13+1</f>
        <v>2</v>
      </c>
      <c r="B14" s="16" t="s">
        <v>16</v>
      </c>
      <c r="C14" s="9" t="s">
        <v>41</v>
      </c>
      <c r="D14" s="1" t="s">
        <v>18</v>
      </c>
      <c r="E14" s="2" t="s">
        <v>34</v>
      </c>
      <c r="F14" s="3">
        <v>0</v>
      </c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ht="30" customHeight="1" x14ac:dyDescent="0.25">
      <c r="A15" s="1">
        <v>3</v>
      </c>
      <c r="B15" s="16" t="s">
        <v>16</v>
      </c>
      <c r="C15" s="9" t="s">
        <v>48</v>
      </c>
      <c r="D15" s="1" t="s">
        <v>19</v>
      </c>
      <c r="E15" s="2" t="s">
        <v>34</v>
      </c>
      <c r="F15" s="3">
        <v>0</v>
      </c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30" customHeight="1" x14ac:dyDescent="0.25">
      <c r="A16" s="1">
        <f t="shared" ref="A16:A25" si="0">A15+1</f>
        <v>4</v>
      </c>
      <c r="B16" s="16" t="s">
        <v>16</v>
      </c>
      <c r="C16" s="9" t="s">
        <v>49</v>
      </c>
      <c r="D16" s="1" t="s">
        <v>20</v>
      </c>
      <c r="E16" s="2" t="s">
        <v>34</v>
      </c>
      <c r="F16" s="15">
        <v>0</v>
      </c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1:16" ht="30" customHeight="1" x14ac:dyDescent="0.25">
      <c r="A17" s="1">
        <f t="shared" si="0"/>
        <v>5</v>
      </c>
      <c r="B17" s="2" t="s">
        <v>7</v>
      </c>
      <c r="C17" s="8" t="s">
        <v>43</v>
      </c>
      <c r="D17" s="1" t="s">
        <v>0</v>
      </c>
      <c r="E17" s="2" t="s">
        <v>34</v>
      </c>
      <c r="F17" s="15">
        <v>7500</v>
      </c>
      <c r="G17" s="15">
        <v>0</v>
      </c>
      <c r="H17" s="15">
        <v>4500</v>
      </c>
      <c r="I17" s="15"/>
      <c r="J17" s="15">
        <v>375</v>
      </c>
      <c r="K17" s="15"/>
      <c r="L17" s="15">
        <f>SUM(F17:K17)</f>
        <v>12375</v>
      </c>
      <c r="M17" s="15">
        <f>362.25+289.81</f>
        <v>652.05999999999995</v>
      </c>
      <c r="N17" s="15">
        <f t="shared" ref="N17:N28" si="1">+L17-M17</f>
        <v>11722.94</v>
      </c>
      <c r="O17" s="15"/>
      <c r="P17" s="15"/>
    </row>
    <row r="18" spans="1:16" ht="30" customHeight="1" x14ac:dyDescent="0.25">
      <c r="A18" s="1">
        <f t="shared" si="0"/>
        <v>6</v>
      </c>
      <c r="B18" s="2" t="s">
        <v>7</v>
      </c>
      <c r="C18" s="8" t="s">
        <v>6</v>
      </c>
      <c r="D18" s="1" t="s">
        <v>42</v>
      </c>
      <c r="E18" s="2" t="s">
        <v>34</v>
      </c>
      <c r="F18" s="15">
        <v>10966</v>
      </c>
      <c r="G18" s="15">
        <v>479.98</v>
      </c>
      <c r="H18" s="15">
        <v>1550</v>
      </c>
      <c r="I18" s="15">
        <v>0</v>
      </c>
      <c r="J18" s="15">
        <v>375</v>
      </c>
      <c r="K18" s="15"/>
      <c r="L18" s="15">
        <f t="shared" ref="L18:L28" si="2">SUM(F18:K18)</f>
        <v>13370.98</v>
      </c>
      <c r="M18" s="15">
        <f>552.83+418.27</f>
        <v>971.1</v>
      </c>
      <c r="N18" s="15">
        <f t="shared" si="1"/>
        <v>12399.88</v>
      </c>
      <c r="O18" s="15"/>
      <c r="P18" s="15"/>
    </row>
    <row r="19" spans="1:16" ht="30" customHeight="1" x14ac:dyDescent="0.25">
      <c r="A19" s="1">
        <f t="shared" si="0"/>
        <v>7</v>
      </c>
      <c r="B19" s="2" t="s">
        <v>7</v>
      </c>
      <c r="C19" s="8" t="s">
        <v>44</v>
      </c>
      <c r="D19" s="8" t="s">
        <v>45</v>
      </c>
      <c r="E19" s="2" t="s">
        <v>34</v>
      </c>
      <c r="F19" s="15">
        <v>7500</v>
      </c>
      <c r="G19" s="15">
        <v>312.5</v>
      </c>
      <c r="H19" s="15">
        <v>1500</v>
      </c>
      <c r="I19" s="15">
        <v>0</v>
      </c>
      <c r="J19" s="15">
        <v>375</v>
      </c>
      <c r="K19" s="15"/>
      <c r="L19" s="15">
        <f t="shared" si="2"/>
        <v>9687.5</v>
      </c>
      <c r="M19" s="15">
        <f>377.34+126+257.21</f>
        <v>760.55</v>
      </c>
      <c r="N19" s="15">
        <f t="shared" si="1"/>
        <v>8926.9500000000007</v>
      </c>
      <c r="O19" s="15"/>
      <c r="P19" s="15"/>
    </row>
    <row r="20" spans="1:16" ht="30" customHeight="1" x14ac:dyDescent="0.25">
      <c r="A20" s="1">
        <f t="shared" si="0"/>
        <v>8</v>
      </c>
      <c r="B20" s="2" t="s">
        <v>7</v>
      </c>
      <c r="C20" s="8" t="s">
        <v>9</v>
      </c>
      <c r="D20" s="1" t="s">
        <v>2</v>
      </c>
      <c r="E20" s="2" t="s">
        <v>34</v>
      </c>
      <c r="F20" s="15">
        <v>4243</v>
      </c>
      <c r="G20" s="15"/>
      <c r="H20" s="15">
        <v>1550</v>
      </c>
      <c r="I20" s="15">
        <v>500</v>
      </c>
      <c r="J20" s="15">
        <v>0</v>
      </c>
      <c r="K20" s="15"/>
      <c r="L20" s="15">
        <f t="shared" si="2"/>
        <v>6293</v>
      </c>
      <c r="M20" s="15">
        <f>204.94+84.58+116.49</f>
        <v>406.01</v>
      </c>
      <c r="N20" s="15">
        <f t="shared" si="1"/>
        <v>5886.99</v>
      </c>
      <c r="O20" s="15"/>
      <c r="P20" s="15"/>
    </row>
    <row r="21" spans="1:16" ht="30" customHeight="1" x14ac:dyDescent="0.25">
      <c r="A21" s="1">
        <f t="shared" si="0"/>
        <v>9</v>
      </c>
      <c r="B21" s="2" t="s">
        <v>7</v>
      </c>
      <c r="C21" s="8" t="s">
        <v>46</v>
      </c>
      <c r="D21" s="1" t="s">
        <v>3</v>
      </c>
      <c r="E21" s="2" t="s">
        <v>34</v>
      </c>
      <c r="F21" s="15">
        <v>3166.38</v>
      </c>
      <c r="G21" s="15">
        <v>435.42</v>
      </c>
      <c r="H21" s="15">
        <v>1550</v>
      </c>
      <c r="I21" s="15">
        <v>0</v>
      </c>
      <c r="J21" s="15">
        <v>0</v>
      </c>
      <c r="K21" s="15"/>
      <c r="L21" s="15">
        <f t="shared" si="2"/>
        <v>5151.8</v>
      </c>
      <c r="M21" s="15">
        <f>173.97+61.42+24.21</f>
        <v>259.59999999999997</v>
      </c>
      <c r="N21" s="15">
        <f>+L21-M21</f>
        <v>4892.2</v>
      </c>
      <c r="O21" s="15"/>
      <c r="P21" s="15"/>
    </row>
    <row r="22" spans="1:16" ht="30" customHeight="1" x14ac:dyDescent="0.25">
      <c r="A22" s="1">
        <f t="shared" si="0"/>
        <v>10</v>
      </c>
      <c r="B22" s="2" t="s">
        <v>7</v>
      </c>
      <c r="C22" s="8" t="s">
        <v>47</v>
      </c>
      <c r="D22" s="1" t="s">
        <v>1</v>
      </c>
      <c r="E22" s="2" t="s">
        <v>34</v>
      </c>
      <c r="F22" s="15">
        <v>588.5</v>
      </c>
      <c r="G22" s="15"/>
      <c r="H22" s="15">
        <v>560.08000000000004</v>
      </c>
      <c r="I22" s="15">
        <v>0</v>
      </c>
      <c r="J22" s="15">
        <v>0</v>
      </c>
      <c r="K22" s="15"/>
      <c r="L22" s="15">
        <f t="shared" si="2"/>
        <v>1148.58</v>
      </c>
      <c r="M22" s="15">
        <f>28.42+52.92</f>
        <v>81.34</v>
      </c>
      <c r="N22" s="15">
        <f t="shared" si="1"/>
        <v>1067.24</v>
      </c>
      <c r="O22" s="15"/>
      <c r="P22" s="15"/>
    </row>
    <row r="23" spans="1:16" ht="30" customHeight="1" x14ac:dyDescent="0.25">
      <c r="A23" s="1">
        <f t="shared" si="0"/>
        <v>11</v>
      </c>
      <c r="B23" s="2" t="s">
        <v>7</v>
      </c>
      <c r="C23" s="8" t="s">
        <v>10</v>
      </c>
      <c r="D23" s="1" t="s">
        <v>56</v>
      </c>
      <c r="E23" s="2" t="s">
        <v>34</v>
      </c>
      <c r="F23" s="15">
        <v>5697</v>
      </c>
      <c r="G23" s="15">
        <v>1293.83</v>
      </c>
      <c r="H23" s="15">
        <v>1800</v>
      </c>
      <c r="I23" s="15">
        <v>500</v>
      </c>
      <c r="J23" s="15"/>
      <c r="K23" s="15"/>
      <c r="L23" s="15">
        <f>SUM(F23:K23)</f>
        <v>9290.83</v>
      </c>
      <c r="M23" s="15">
        <f>337.66+175.6</f>
        <v>513.26</v>
      </c>
      <c r="N23" s="15">
        <f t="shared" si="1"/>
        <v>8777.57</v>
      </c>
      <c r="O23" s="15"/>
      <c r="P23" s="15"/>
    </row>
    <row r="24" spans="1:16" ht="30" customHeight="1" x14ac:dyDescent="0.25">
      <c r="A24" s="1">
        <f t="shared" si="0"/>
        <v>12</v>
      </c>
      <c r="B24" s="2" t="s">
        <v>7</v>
      </c>
      <c r="C24" s="8" t="s">
        <v>11</v>
      </c>
      <c r="D24" s="1" t="s">
        <v>4</v>
      </c>
      <c r="E24" s="2" t="s">
        <v>34</v>
      </c>
      <c r="F24" s="15">
        <v>7392</v>
      </c>
      <c r="G24" s="15">
        <v>785.4</v>
      </c>
      <c r="H24" s="15">
        <v>2300</v>
      </c>
      <c r="I24" s="15">
        <v>500</v>
      </c>
      <c r="J24" s="15"/>
      <c r="K24" s="15"/>
      <c r="L24" s="15">
        <f t="shared" si="2"/>
        <v>10977.4</v>
      </c>
      <c r="M24" s="15">
        <f>394.97+301.57</f>
        <v>696.54</v>
      </c>
      <c r="N24" s="15">
        <f t="shared" si="1"/>
        <v>10280.86</v>
      </c>
      <c r="O24" s="15"/>
      <c r="P24" s="15"/>
    </row>
    <row r="25" spans="1:16" ht="30" customHeight="1" x14ac:dyDescent="0.25">
      <c r="A25" s="1">
        <f t="shared" si="0"/>
        <v>13</v>
      </c>
      <c r="B25" s="2" t="s">
        <v>7</v>
      </c>
      <c r="C25" s="8" t="s">
        <v>54</v>
      </c>
      <c r="D25" s="1" t="s">
        <v>55</v>
      </c>
      <c r="E25" s="2" t="s">
        <v>34</v>
      </c>
      <c r="F25" s="15">
        <v>6750</v>
      </c>
      <c r="G25" s="15"/>
      <c r="H25" s="15">
        <v>250</v>
      </c>
      <c r="I25" s="15">
        <v>0</v>
      </c>
      <c r="J25" s="15"/>
      <c r="K25" s="15"/>
      <c r="L25" s="15">
        <f t="shared" si="2"/>
        <v>7000</v>
      </c>
      <c r="M25" s="15">
        <f>326.02+160.44</f>
        <v>486.46</v>
      </c>
      <c r="N25" s="15">
        <f t="shared" si="1"/>
        <v>6513.54</v>
      </c>
      <c r="O25" s="15"/>
      <c r="P25" s="15"/>
    </row>
    <row r="26" spans="1:16" ht="30" customHeight="1" x14ac:dyDescent="0.25">
      <c r="A26" s="1">
        <v>15</v>
      </c>
      <c r="B26" s="2" t="s">
        <v>7</v>
      </c>
      <c r="C26" s="8" t="s">
        <v>12</v>
      </c>
      <c r="D26" s="1" t="s">
        <v>5</v>
      </c>
      <c r="E26" s="2" t="s">
        <v>34</v>
      </c>
      <c r="F26" s="15">
        <v>3166.38</v>
      </c>
      <c r="G26" s="15">
        <v>316.68</v>
      </c>
      <c r="H26" s="15">
        <v>1550</v>
      </c>
      <c r="I26" s="15">
        <v>0</v>
      </c>
      <c r="J26" s="15"/>
      <c r="K26" s="15"/>
      <c r="L26" s="15">
        <f t="shared" si="2"/>
        <v>5033.0599999999995</v>
      </c>
      <c r="M26" s="15">
        <f>168.23+20.98</f>
        <v>189.20999999999998</v>
      </c>
      <c r="N26" s="15">
        <f t="shared" si="1"/>
        <v>4843.8499999999995</v>
      </c>
      <c r="O26" s="15"/>
      <c r="P26" s="15"/>
    </row>
    <row r="27" spans="1:16" ht="30" customHeight="1" x14ac:dyDescent="0.25">
      <c r="A27" s="1">
        <v>16</v>
      </c>
      <c r="B27" s="2">
        <v>11</v>
      </c>
      <c r="C27" s="8" t="s">
        <v>50</v>
      </c>
      <c r="D27" s="1" t="s">
        <v>51</v>
      </c>
      <c r="E27" s="2" t="s">
        <v>34</v>
      </c>
      <c r="F27" s="15">
        <v>3166.38</v>
      </c>
      <c r="G27" s="15">
        <v>184.73</v>
      </c>
      <c r="H27" s="15">
        <v>1449</v>
      </c>
      <c r="I27" s="15"/>
      <c r="J27" s="15"/>
      <c r="K27" s="15"/>
      <c r="L27" s="15">
        <f t="shared" si="2"/>
        <v>4800.1100000000006</v>
      </c>
      <c r="M27" s="15">
        <f>161.86+20.07</f>
        <v>181.93</v>
      </c>
      <c r="N27" s="15">
        <f t="shared" si="1"/>
        <v>4618.18</v>
      </c>
      <c r="O27" s="15"/>
      <c r="P27" s="15"/>
    </row>
    <row r="28" spans="1:16" ht="30" customHeight="1" x14ac:dyDescent="0.25">
      <c r="A28" s="1">
        <v>17</v>
      </c>
      <c r="B28" s="2">
        <v>23</v>
      </c>
      <c r="C28" s="8" t="s">
        <v>64</v>
      </c>
      <c r="D28" s="1" t="s">
        <v>65</v>
      </c>
      <c r="E28" s="2" t="s">
        <v>34</v>
      </c>
      <c r="F28" s="15">
        <v>3531</v>
      </c>
      <c r="G28" s="15">
        <v>154.49</v>
      </c>
      <c r="H28" s="15">
        <v>250</v>
      </c>
      <c r="I28" s="15"/>
      <c r="J28" s="15"/>
      <c r="K28" s="15"/>
      <c r="L28" s="15">
        <f t="shared" si="2"/>
        <v>3935.49</v>
      </c>
      <c r="M28" s="15">
        <v>160.94999999999999</v>
      </c>
      <c r="N28" s="15">
        <f t="shared" si="1"/>
        <v>3774.54</v>
      </c>
      <c r="O28" s="15"/>
      <c r="P28" s="15"/>
    </row>
    <row r="29" spans="1:16" ht="30" customHeight="1" x14ac:dyDescent="0.25">
      <c r="A29" s="1">
        <v>18</v>
      </c>
      <c r="B29" s="2">
        <v>184</v>
      </c>
      <c r="C29" s="8" t="s">
        <v>61</v>
      </c>
      <c r="D29" s="8" t="s">
        <v>13</v>
      </c>
      <c r="E29" s="2" t="s">
        <v>34</v>
      </c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1:16" ht="30" customHeight="1" x14ac:dyDescent="0.25">
      <c r="A30" s="1">
        <v>19</v>
      </c>
      <c r="B30" s="2">
        <v>183</v>
      </c>
      <c r="C30" s="8" t="s">
        <v>52</v>
      </c>
      <c r="D30" s="1" t="s">
        <v>53</v>
      </c>
      <c r="E30" s="2" t="s">
        <v>34</v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2" spans="1:16" ht="15" customHeight="1" x14ac:dyDescent="0.25"/>
    <row r="34" spans="1:16" s="6" customFormat="1" ht="0.95" customHeight="1" x14ac:dyDescent="0.25">
      <c r="A34"/>
      <c r="B34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20"/>
    </row>
    <row r="35" spans="1:16" x14ac:dyDescent="0.25">
      <c r="C35" s="7" t="s">
        <v>14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</row>
    <row r="36" spans="1:16" x14ac:dyDescent="0.25">
      <c r="B36" s="5"/>
      <c r="C36" s="7" t="s">
        <v>58</v>
      </c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</row>
  </sheetData>
  <mergeCells count="14">
    <mergeCell ref="G11:G12"/>
    <mergeCell ref="A11:A12"/>
    <mergeCell ref="B11:B12"/>
    <mergeCell ref="D11:D12"/>
    <mergeCell ref="E11:E12"/>
    <mergeCell ref="F11:F12"/>
    <mergeCell ref="N11:N12"/>
    <mergeCell ref="O11:P11"/>
    <mergeCell ref="H11:H12"/>
    <mergeCell ref="I11:I12"/>
    <mergeCell ref="J11:J12"/>
    <mergeCell ref="K11:K12"/>
    <mergeCell ref="L11:L12"/>
    <mergeCell ref="M11:M12"/>
  </mergeCells>
  <printOptions horizontalCentered="1"/>
  <pageMargins left="0.19685039370078741" right="0.19685039370078741" top="0.39370078740157483" bottom="0.19685039370078741" header="0.19685039370078741" footer="0.19685039370078741"/>
  <pageSetup scale="5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5F26C-8B86-4484-BC3A-AF269BF011F9}">
  <dimension ref="A1:P35"/>
  <sheetViews>
    <sheetView showGridLines="0" topLeftCell="A12" zoomScale="85" zoomScaleNormal="85" workbookViewId="0">
      <selection activeCell="A16" sqref="A16"/>
    </sheetView>
  </sheetViews>
  <sheetFormatPr baseColWidth="10" defaultRowHeight="15" x14ac:dyDescent="0.25"/>
  <cols>
    <col min="1" max="1" width="3.28515625" customWidth="1"/>
    <col min="2" max="2" width="8.7109375" customWidth="1"/>
    <col min="3" max="3" width="25.7109375" customWidth="1"/>
    <col min="4" max="4" width="26.7109375" customWidth="1"/>
    <col min="5" max="5" width="8.7109375" customWidth="1"/>
    <col min="6" max="6" width="12.7109375" customWidth="1"/>
    <col min="7" max="10" width="11.7109375" customWidth="1"/>
    <col min="11" max="11" width="12.28515625" customWidth="1"/>
    <col min="12" max="12" width="12.7109375" customWidth="1"/>
    <col min="13" max="13" width="12.28515625" customWidth="1"/>
    <col min="14" max="16" width="12.7109375" customWidth="1"/>
  </cols>
  <sheetData>
    <row r="1" spans="1:16" ht="18.75" x14ac:dyDescent="0.3">
      <c r="A1" s="10"/>
      <c r="B1" s="10"/>
      <c r="C1" s="10"/>
      <c r="D1" s="10"/>
      <c r="E1" s="10"/>
      <c r="F1" s="10"/>
      <c r="G1" s="11"/>
      <c r="H1" s="10"/>
      <c r="I1" s="10"/>
      <c r="J1" s="10"/>
      <c r="K1" s="10"/>
      <c r="L1" s="10"/>
      <c r="M1" s="10"/>
      <c r="N1" s="10"/>
      <c r="O1" s="10"/>
      <c r="P1" s="10"/>
    </row>
    <row r="2" spans="1:16" ht="18.75" x14ac:dyDescent="0.3">
      <c r="A2" s="10"/>
      <c r="B2" s="10"/>
      <c r="C2" s="10"/>
      <c r="D2" s="10"/>
      <c r="E2" s="10"/>
      <c r="F2" s="10"/>
      <c r="G2" s="11"/>
      <c r="H2" s="10"/>
      <c r="I2" s="10"/>
      <c r="J2" s="10"/>
      <c r="K2" s="10"/>
      <c r="L2" s="10"/>
      <c r="M2" s="10"/>
      <c r="N2" s="10"/>
      <c r="O2" s="10"/>
      <c r="P2" s="10"/>
    </row>
    <row r="3" spans="1:16" ht="18.75" x14ac:dyDescent="0.3">
      <c r="A3" s="10"/>
      <c r="B3" s="10"/>
      <c r="C3" s="10"/>
      <c r="D3" s="10"/>
      <c r="E3" s="10"/>
      <c r="F3" s="10"/>
      <c r="G3" s="11"/>
      <c r="H3" s="10"/>
      <c r="I3" s="10"/>
      <c r="J3" s="10"/>
      <c r="K3" s="10"/>
      <c r="L3" s="10"/>
      <c r="M3" s="10"/>
      <c r="N3" s="10"/>
      <c r="O3" s="10"/>
      <c r="P3" s="10"/>
    </row>
    <row r="4" spans="1:16" ht="18.75" x14ac:dyDescent="0.3">
      <c r="A4" s="10"/>
      <c r="B4" s="10"/>
      <c r="C4" s="10"/>
      <c r="D4" s="10"/>
      <c r="E4" s="10"/>
      <c r="F4" s="10"/>
      <c r="G4" s="11"/>
      <c r="H4" s="10"/>
      <c r="I4" s="10"/>
      <c r="J4" s="10"/>
      <c r="K4" s="10"/>
      <c r="L4" s="10"/>
      <c r="M4" s="10"/>
      <c r="N4" s="10"/>
      <c r="O4" s="10"/>
      <c r="P4" s="10"/>
    </row>
    <row r="5" spans="1:16" ht="18.75" x14ac:dyDescent="0.3">
      <c r="A5" s="10"/>
      <c r="B5" s="10"/>
      <c r="C5" s="10"/>
      <c r="D5" s="10"/>
      <c r="E5" s="10"/>
      <c r="F5" s="10"/>
      <c r="G5" s="11"/>
      <c r="H5" s="10"/>
      <c r="I5" s="10"/>
      <c r="J5" s="10"/>
      <c r="K5" s="10"/>
      <c r="L5" s="10"/>
      <c r="M5" s="10"/>
      <c r="N5" s="10"/>
      <c r="O5" s="10"/>
      <c r="P5" s="10"/>
    </row>
    <row r="6" spans="1:16" ht="18.75" x14ac:dyDescent="0.3">
      <c r="A6" s="10"/>
      <c r="B6" s="10"/>
      <c r="C6" s="10"/>
      <c r="D6" s="10"/>
      <c r="E6" s="10"/>
      <c r="F6" s="10"/>
      <c r="G6" s="21"/>
      <c r="H6" s="10"/>
      <c r="I6" s="10"/>
      <c r="J6" s="10"/>
      <c r="K6" s="10"/>
      <c r="L6" s="10"/>
      <c r="M6" s="10"/>
      <c r="N6" s="10"/>
      <c r="O6" s="10"/>
      <c r="P6" s="10"/>
    </row>
    <row r="7" spans="1:16" ht="18.75" x14ac:dyDescent="0.3">
      <c r="A7" s="10" t="s">
        <v>8</v>
      </c>
      <c r="B7" s="10"/>
      <c r="C7" s="10"/>
      <c r="D7" s="10"/>
      <c r="E7" s="10"/>
      <c r="F7" s="10"/>
      <c r="G7" s="11"/>
      <c r="H7" s="10"/>
      <c r="I7" s="10"/>
      <c r="J7" s="10"/>
      <c r="K7" s="10"/>
      <c r="L7" s="10"/>
      <c r="M7" s="10"/>
      <c r="N7" s="10"/>
      <c r="O7" s="10"/>
      <c r="P7" s="10"/>
    </row>
    <row r="8" spans="1:16" ht="18.75" x14ac:dyDescent="0.3">
      <c r="A8" s="10" t="s">
        <v>70</v>
      </c>
      <c r="B8" s="10"/>
      <c r="C8" s="10"/>
      <c r="D8" s="10"/>
      <c r="E8" s="10"/>
      <c r="F8" s="10"/>
      <c r="G8" s="11"/>
      <c r="H8" s="10"/>
      <c r="I8" s="10"/>
      <c r="J8" s="10"/>
      <c r="K8" s="10"/>
      <c r="L8" s="10"/>
      <c r="M8" s="10"/>
      <c r="N8" s="10"/>
      <c r="O8" s="10"/>
      <c r="P8" s="10"/>
    </row>
    <row r="9" spans="1:16" ht="15.75" x14ac:dyDescent="0.25">
      <c r="A9" s="17" t="s">
        <v>15</v>
      </c>
      <c r="B9" s="4"/>
      <c r="C9" s="4"/>
      <c r="D9" s="4"/>
      <c r="E9" s="4"/>
      <c r="F9" s="4"/>
      <c r="G9" s="12"/>
      <c r="H9" s="4"/>
      <c r="I9" s="4"/>
      <c r="J9" s="4"/>
      <c r="K9" s="4"/>
      <c r="L9" s="4"/>
      <c r="M9" s="4"/>
      <c r="N9" s="4"/>
      <c r="O9" s="4"/>
      <c r="P9" s="4"/>
    </row>
    <row r="10" spans="1:16" ht="15" customHeight="1" x14ac:dyDescent="0.25">
      <c r="A10" s="14"/>
      <c r="B10" s="4"/>
      <c r="C10" s="4"/>
      <c r="D10" s="12"/>
      <c r="E10" s="4"/>
      <c r="F10" s="4"/>
      <c r="G10" s="4"/>
      <c r="H10" s="4"/>
      <c r="I10" s="4"/>
      <c r="J10" s="4"/>
      <c r="K10" s="4"/>
      <c r="L10" s="4"/>
      <c r="M10" s="4"/>
    </row>
    <row r="11" spans="1:16" ht="30" customHeight="1" x14ac:dyDescent="0.25">
      <c r="A11" s="22" t="s">
        <v>21</v>
      </c>
      <c r="B11" s="23" t="s">
        <v>22</v>
      </c>
      <c r="C11" s="19" t="s">
        <v>23</v>
      </c>
      <c r="D11" s="26" t="s">
        <v>24</v>
      </c>
      <c r="E11" s="27" t="s">
        <v>25</v>
      </c>
      <c r="F11" s="22" t="s">
        <v>35</v>
      </c>
      <c r="G11" s="22" t="s">
        <v>36</v>
      </c>
      <c r="H11" s="22" t="s">
        <v>38</v>
      </c>
      <c r="I11" s="22" t="s">
        <v>37</v>
      </c>
      <c r="J11" s="22" t="s">
        <v>26</v>
      </c>
      <c r="K11" s="22" t="s">
        <v>27</v>
      </c>
      <c r="L11" s="22" t="s">
        <v>28</v>
      </c>
      <c r="M11" s="22" t="s">
        <v>29</v>
      </c>
      <c r="N11" s="22" t="s">
        <v>30</v>
      </c>
      <c r="O11" s="24" t="s">
        <v>31</v>
      </c>
      <c r="P11" s="25"/>
    </row>
    <row r="12" spans="1:16" ht="48" customHeight="1" x14ac:dyDescent="0.25">
      <c r="A12" s="22"/>
      <c r="B12" s="23"/>
      <c r="C12" s="19" t="s">
        <v>33</v>
      </c>
      <c r="D12" s="26"/>
      <c r="E12" s="28"/>
      <c r="F12" s="22"/>
      <c r="G12" s="22"/>
      <c r="H12" s="22"/>
      <c r="I12" s="23"/>
      <c r="J12" s="22"/>
      <c r="K12" s="23"/>
      <c r="L12" s="23"/>
      <c r="M12" s="23"/>
      <c r="N12" s="23"/>
      <c r="O12" s="18" t="s">
        <v>32</v>
      </c>
      <c r="P12" s="18" t="s">
        <v>39</v>
      </c>
    </row>
    <row r="13" spans="1:16" ht="30" customHeight="1" x14ac:dyDescent="0.25">
      <c r="A13" s="1">
        <v>1</v>
      </c>
      <c r="B13" s="16" t="s">
        <v>16</v>
      </c>
      <c r="C13" s="8" t="s">
        <v>40</v>
      </c>
      <c r="D13" s="1" t="s">
        <v>17</v>
      </c>
      <c r="E13" s="2" t="s">
        <v>34</v>
      </c>
      <c r="F13" s="3">
        <v>0</v>
      </c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ht="30" customHeight="1" x14ac:dyDescent="0.25">
      <c r="A14" s="1">
        <f>A13+1</f>
        <v>2</v>
      </c>
      <c r="B14" s="16" t="s">
        <v>16</v>
      </c>
      <c r="C14" s="9" t="s">
        <v>41</v>
      </c>
      <c r="D14" s="1" t="s">
        <v>18</v>
      </c>
      <c r="E14" s="2" t="s">
        <v>34</v>
      </c>
      <c r="F14" s="3">
        <v>0</v>
      </c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ht="30" customHeight="1" x14ac:dyDescent="0.25">
      <c r="A15" s="1">
        <v>3</v>
      </c>
      <c r="B15" s="16" t="s">
        <v>16</v>
      </c>
      <c r="C15" s="9" t="s">
        <v>48</v>
      </c>
      <c r="D15" s="1" t="s">
        <v>19</v>
      </c>
      <c r="E15" s="2" t="s">
        <v>34</v>
      </c>
      <c r="F15" s="3">
        <v>0</v>
      </c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30" customHeight="1" x14ac:dyDescent="0.25">
      <c r="A16" s="1">
        <f t="shared" ref="A16:A25" si="0">A15+1</f>
        <v>4</v>
      </c>
      <c r="B16" s="16" t="s">
        <v>16</v>
      </c>
      <c r="C16" s="9" t="s">
        <v>49</v>
      </c>
      <c r="D16" s="1" t="s">
        <v>20</v>
      </c>
      <c r="E16" s="2" t="s">
        <v>34</v>
      </c>
      <c r="F16" s="15">
        <v>0</v>
      </c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1:16" ht="30" customHeight="1" x14ac:dyDescent="0.25">
      <c r="A17" s="1">
        <f t="shared" si="0"/>
        <v>5</v>
      </c>
      <c r="B17" s="2" t="s">
        <v>7</v>
      </c>
      <c r="C17" s="8" t="s">
        <v>43</v>
      </c>
      <c r="D17" s="1" t="s">
        <v>0</v>
      </c>
      <c r="E17" s="2" t="s">
        <v>34</v>
      </c>
      <c r="F17" s="15">
        <v>7500</v>
      </c>
      <c r="G17" s="15">
        <v>0</v>
      </c>
      <c r="H17" s="15">
        <v>4500</v>
      </c>
      <c r="I17" s="15"/>
      <c r="J17" s="15">
        <v>375</v>
      </c>
      <c r="K17" s="15"/>
      <c r="L17" s="15">
        <f>SUM(F17:K17)</f>
        <v>12375</v>
      </c>
      <c r="M17" s="15">
        <f>362.25+289.81</f>
        <v>652.05999999999995</v>
      </c>
      <c r="N17" s="15">
        <f t="shared" ref="N17:N27" si="1">+L17-M17</f>
        <v>11722.94</v>
      </c>
      <c r="O17" s="15"/>
      <c r="P17" s="15"/>
    </row>
    <row r="18" spans="1:16" ht="30" customHeight="1" x14ac:dyDescent="0.25">
      <c r="A18" s="1">
        <f t="shared" si="0"/>
        <v>6</v>
      </c>
      <c r="B18" s="2" t="s">
        <v>7</v>
      </c>
      <c r="C18" s="8" t="s">
        <v>6</v>
      </c>
      <c r="D18" s="1" t="s">
        <v>42</v>
      </c>
      <c r="E18" s="2" t="s">
        <v>34</v>
      </c>
      <c r="F18" s="15">
        <v>10966</v>
      </c>
      <c r="G18" s="15"/>
      <c r="H18" s="15">
        <v>1550</v>
      </c>
      <c r="I18" s="15">
        <v>0</v>
      </c>
      <c r="J18" s="15">
        <v>375</v>
      </c>
      <c r="K18" s="15"/>
      <c r="L18" s="15">
        <f t="shared" ref="L18:L27" si="2">SUM(F18:K18)</f>
        <v>12891</v>
      </c>
      <c r="M18" s="15">
        <f>529.66+418.27</f>
        <v>947.93</v>
      </c>
      <c r="N18" s="15">
        <f t="shared" si="1"/>
        <v>11943.07</v>
      </c>
      <c r="O18" s="15"/>
      <c r="P18" s="15"/>
    </row>
    <row r="19" spans="1:16" ht="30" customHeight="1" x14ac:dyDescent="0.25">
      <c r="A19" s="1">
        <f t="shared" si="0"/>
        <v>7</v>
      </c>
      <c r="B19" s="2" t="s">
        <v>7</v>
      </c>
      <c r="C19" s="8" t="s">
        <v>44</v>
      </c>
      <c r="D19" s="8" t="s">
        <v>45</v>
      </c>
      <c r="E19" s="2" t="s">
        <v>34</v>
      </c>
      <c r="F19" s="15">
        <v>7500</v>
      </c>
      <c r="G19" s="15"/>
      <c r="H19" s="15">
        <v>1500</v>
      </c>
      <c r="I19" s="15">
        <v>0</v>
      </c>
      <c r="J19" s="15">
        <v>375</v>
      </c>
      <c r="K19" s="15"/>
      <c r="L19" s="15">
        <f t="shared" si="2"/>
        <v>9375</v>
      </c>
      <c r="M19" s="15">
        <f>362.25+126+257.21</f>
        <v>745.46</v>
      </c>
      <c r="N19" s="15">
        <f t="shared" si="1"/>
        <v>8629.5400000000009</v>
      </c>
      <c r="O19" s="15"/>
      <c r="P19" s="15"/>
    </row>
    <row r="20" spans="1:16" ht="30" customHeight="1" x14ac:dyDescent="0.25">
      <c r="A20" s="1">
        <f t="shared" si="0"/>
        <v>8</v>
      </c>
      <c r="B20" s="2" t="s">
        <v>7</v>
      </c>
      <c r="C20" s="8" t="s">
        <v>9</v>
      </c>
      <c r="D20" s="1" t="s">
        <v>2</v>
      </c>
      <c r="E20" s="2" t="s">
        <v>34</v>
      </c>
      <c r="F20" s="15">
        <v>4243</v>
      </c>
      <c r="G20" s="15"/>
      <c r="H20" s="15">
        <v>1550</v>
      </c>
      <c r="I20" s="15">
        <v>500</v>
      </c>
      <c r="J20" s="15">
        <v>0</v>
      </c>
      <c r="K20" s="15"/>
      <c r="L20" s="15">
        <f t="shared" si="2"/>
        <v>6293</v>
      </c>
      <c r="M20" s="15">
        <f>204.94+84.58+116.49</f>
        <v>406.01</v>
      </c>
      <c r="N20" s="15">
        <f t="shared" si="1"/>
        <v>5886.99</v>
      </c>
      <c r="O20" s="15"/>
      <c r="P20" s="15"/>
    </row>
    <row r="21" spans="1:16" ht="30" customHeight="1" x14ac:dyDescent="0.25">
      <c r="A21" s="1">
        <f t="shared" si="0"/>
        <v>9</v>
      </c>
      <c r="B21" s="2" t="s">
        <v>7</v>
      </c>
      <c r="C21" s="8" t="s">
        <v>46</v>
      </c>
      <c r="D21" s="1" t="s">
        <v>3</v>
      </c>
      <c r="E21" s="2" t="s">
        <v>34</v>
      </c>
      <c r="F21" s="15">
        <v>3166.38</v>
      </c>
      <c r="G21" s="15"/>
      <c r="H21" s="15">
        <v>1550</v>
      </c>
      <c r="I21" s="15">
        <v>0</v>
      </c>
      <c r="J21" s="15">
        <v>0</v>
      </c>
      <c r="K21" s="15"/>
      <c r="L21" s="15">
        <f t="shared" si="2"/>
        <v>4716.38</v>
      </c>
      <c r="M21" s="15">
        <f>152.94+61.42+24.21</f>
        <v>238.57000000000002</v>
      </c>
      <c r="N21" s="15">
        <f>+L21-M21</f>
        <v>4477.8100000000004</v>
      </c>
      <c r="O21" s="15"/>
      <c r="P21" s="15"/>
    </row>
    <row r="22" spans="1:16" ht="30" customHeight="1" x14ac:dyDescent="0.25">
      <c r="A22" s="1">
        <f t="shared" si="0"/>
        <v>10</v>
      </c>
      <c r="B22" s="2" t="s">
        <v>7</v>
      </c>
      <c r="C22" s="8" t="s">
        <v>47</v>
      </c>
      <c r="D22" s="1" t="s">
        <v>1</v>
      </c>
      <c r="E22" s="2" t="s">
        <v>34</v>
      </c>
      <c r="F22" s="15">
        <v>3531</v>
      </c>
      <c r="G22" s="15"/>
      <c r="H22" s="15">
        <v>2841.75</v>
      </c>
      <c r="I22" s="15">
        <v>0</v>
      </c>
      <c r="J22" s="15">
        <v>0</v>
      </c>
      <c r="K22" s="15"/>
      <c r="L22" s="15">
        <f t="shared" si="2"/>
        <v>6372.75</v>
      </c>
      <c r="M22" s="15">
        <f>170.35+211.68</f>
        <v>382.03</v>
      </c>
      <c r="N22" s="15">
        <f t="shared" si="1"/>
        <v>5990.72</v>
      </c>
      <c r="O22" s="15"/>
      <c r="P22" s="15"/>
    </row>
    <row r="23" spans="1:16" ht="30" customHeight="1" x14ac:dyDescent="0.25">
      <c r="A23" s="1">
        <f t="shared" si="0"/>
        <v>11</v>
      </c>
      <c r="B23" s="2" t="s">
        <v>7</v>
      </c>
      <c r="C23" s="8" t="s">
        <v>10</v>
      </c>
      <c r="D23" s="1" t="s">
        <v>56</v>
      </c>
      <c r="E23" s="2" t="s">
        <v>34</v>
      </c>
      <c r="F23" s="15">
        <v>5697</v>
      </c>
      <c r="G23" s="15"/>
      <c r="H23" s="15">
        <v>1800</v>
      </c>
      <c r="I23" s="15">
        <v>500</v>
      </c>
      <c r="J23" s="15"/>
      <c r="K23" s="15"/>
      <c r="L23" s="15">
        <f>SUM(F23:K23)</f>
        <v>7997</v>
      </c>
      <c r="M23" s="15">
        <f>275.17+175.6</f>
        <v>450.77</v>
      </c>
      <c r="N23" s="15">
        <f t="shared" si="1"/>
        <v>7546.23</v>
      </c>
      <c r="O23" s="15"/>
      <c r="P23" s="15"/>
    </row>
    <row r="24" spans="1:16" ht="30" customHeight="1" x14ac:dyDescent="0.25">
      <c r="A24" s="1">
        <f t="shared" si="0"/>
        <v>12</v>
      </c>
      <c r="B24" s="2" t="s">
        <v>7</v>
      </c>
      <c r="C24" s="8" t="s">
        <v>11</v>
      </c>
      <c r="D24" s="1" t="s">
        <v>4</v>
      </c>
      <c r="E24" s="2" t="s">
        <v>34</v>
      </c>
      <c r="F24" s="15">
        <v>7392</v>
      </c>
      <c r="G24" s="15"/>
      <c r="H24" s="15">
        <v>2300</v>
      </c>
      <c r="I24" s="15">
        <v>500</v>
      </c>
      <c r="J24" s="15"/>
      <c r="K24" s="15"/>
      <c r="L24" s="15">
        <f t="shared" si="2"/>
        <v>10192</v>
      </c>
      <c r="M24" s="15">
        <f>357.03+301.57</f>
        <v>658.59999999999991</v>
      </c>
      <c r="N24" s="15">
        <f t="shared" si="1"/>
        <v>9533.4</v>
      </c>
      <c r="O24" s="15"/>
      <c r="P24" s="15"/>
    </row>
    <row r="25" spans="1:16" ht="30" customHeight="1" x14ac:dyDescent="0.25">
      <c r="A25" s="1">
        <f t="shared" si="0"/>
        <v>13</v>
      </c>
      <c r="B25" s="2" t="s">
        <v>7</v>
      </c>
      <c r="C25" s="8" t="s">
        <v>54</v>
      </c>
      <c r="D25" s="1" t="s">
        <v>55</v>
      </c>
      <c r="E25" s="2" t="s">
        <v>34</v>
      </c>
      <c r="F25" s="15">
        <v>6750</v>
      </c>
      <c r="G25" s="15"/>
      <c r="H25" s="15">
        <v>250</v>
      </c>
      <c r="I25" s="15">
        <v>0</v>
      </c>
      <c r="J25" s="15"/>
      <c r="K25" s="15"/>
      <c r="L25" s="15">
        <f t="shared" si="2"/>
        <v>7000</v>
      </c>
      <c r="M25" s="15">
        <f>326.02+160.44</f>
        <v>486.46</v>
      </c>
      <c r="N25" s="15">
        <f t="shared" si="1"/>
        <v>6513.54</v>
      </c>
      <c r="O25" s="15"/>
      <c r="P25" s="15"/>
    </row>
    <row r="26" spans="1:16" ht="30" customHeight="1" x14ac:dyDescent="0.25">
      <c r="A26" s="1">
        <v>15</v>
      </c>
      <c r="B26" s="2" t="s">
        <v>7</v>
      </c>
      <c r="C26" s="8" t="s">
        <v>12</v>
      </c>
      <c r="D26" s="1" t="s">
        <v>5</v>
      </c>
      <c r="E26" s="2" t="s">
        <v>34</v>
      </c>
      <c r="F26" s="15">
        <v>3166.38</v>
      </c>
      <c r="G26" s="15"/>
      <c r="H26" s="15">
        <v>1550</v>
      </c>
      <c r="I26" s="15">
        <v>0</v>
      </c>
      <c r="J26" s="15"/>
      <c r="K26" s="15"/>
      <c r="L26" s="15">
        <f t="shared" si="2"/>
        <v>4716.38</v>
      </c>
      <c r="M26" s="15">
        <f>152.94+20.98</f>
        <v>173.92</v>
      </c>
      <c r="N26" s="15">
        <f t="shared" si="1"/>
        <v>4542.46</v>
      </c>
      <c r="O26" s="15"/>
      <c r="P26" s="15"/>
    </row>
    <row r="27" spans="1:16" ht="30" customHeight="1" x14ac:dyDescent="0.25">
      <c r="A27" s="1">
        <v>16</v>
      </c>
      <c r="B27" s="2">
        <v>11</v>
      </c>
      <c r="C27" s="8" t="s">
        <v>50</v>
      </c>
      <c r="D27" s="1" t="s">
        <v>51</v>
      </c>
      <c r="E27" s="2" t="s">
        <v>34</v>
      </c>
      <c r="F27" s="15">
        <v>3166.38</v>
      </c>
      <c r="G27" s="15"/>
      <c r="H27" s="15">
        <v>1449</v>
      </c>
      <c r="I27" s="15"/>
      <c r="J27" s="15"/>
      <c r="K27" s="15"/>
      <c r="L27" s="15">
        <f t="shared" si="2"/>
        <v>4615.38</v>
      </c>
      <c r="M27" s="15">
        <f>152.94+20.07</f>
        <v>173.01</v>
      </c>
      <c r="N27" s="15">
        <f t="shared" si="1"/>
        <v>4442.37</v>
      </c>
      <c r="O27" s="15"/>
      <c r="P27" s="15"/>
    </row>
    <row r="28" spans="1:16" ht="30" customHeight="1" x14ac:dyDescent="0.25">
      <c r="A28" s="1">
        <v>18</v>
      </c>
      <c r="B28" s="2">
        <v>184</v>
      </c>
      <c r="C28" s="8" t="s">
        <v>61</v>
      </c>
      <c r="D28" s="8" t="s">
        <v>13</v>
      </c>
      <c r="E28" s="2" t="s">
        <v>34</v>
      </c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1:16" ht="30" customHeight="1" x14ac:dyDescent="0.25">
      <c r="A29" s="1">
        <v>19</v>
      </c>
      <c r="B29" s="2">
        <v>183</v>
      </c>
      <c r="C29" s="8" t="s">
        <v>52</v>
      </c>
      <c r="D29" s="1" t="s">
        <v>53</v>
      </c>
      <c r="E29" s="2" t="s">
        <v>34</v>
      </c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1" spans="1:16" ht="15" customHeight="1" x14ac:dyDescent="0.25"/>
    <row r="33" spans="1:16" s="6" customFormat="1" ht="0.95" customHeight="1" x14ac:dyDescent="0.25">
      <c r="A33"/>
      <c r="B3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20"/>
    </row>
    <row r="34" spans="1:16" x14ac:dyDescent="0.25">
      <c r="C34" s="7" t="s">
        <v>14</v>
      </c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6" x14ac:dyDescent="0.25">
      <c r="B35" s="5"/>
      <c r="C35" s="7" t="s">
        <v>58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</row>
  </sheetData>
  <mergeCells count="14">
    <mergeCell ref="G11:G12"/>
    <mergeCell ref="A11:A12"/>
    <mergeCell ref="B11:B12"/>
    <mergeCell ref="D11:D12"/>
    <mergeCell ref="E11:E12"/>
    <mergeCell ref="F11:F12"/>
    <mergeCell ref="N11:N12"/>
    <mergeCell ref="O11:P11"/>
    <mergeCell ref="H11:H12"/>
    <mergeCell ref="I11:I12"/>
    <mergeCell ref="J11:J12"/>
    <mergeCell ref="K11:K12"/>
    <mergeCell ref="L11:L12"/>
    <mergeCell ref="M11:M12"/>
  </mergeCells>
  <printOptions horizontalCentered="1"/>
  <pageMargins left="0.19685039370078741" right="0.19685039370078741" top="0.39370078740157483" bottom="0.19685039370078741" header="0.19685039370078741" footer="0.19685039370078741"/>
  <pageSetup scale="5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D897A-EBB7-4A35-A6B7-D2BDA816B112}">
  <dimension ref="A1:P35"/>
  <sheetViews>
    <sheetView showGridLines="0" zoomScale="85" zoomScaleNormal="85" workbookViewId="0">
      <selection activeCell="A16" sqref="A16"/>
    </sheetView>
  </sheetViews>
  <sheetFormatPr baseColWidth="10" defaultRowHeight="15" x14ac:dyDescent="0.25"/>
  <cols>
    <col min="1" max="1" width="3.28515625" customWidth="1"/>
    <col min="2" max="2" width="8.7109375" customWidth="1"/>
    <col min="3" max="3" width="25.7109375" customWidth="1"/>
    <col min="4" max="4" width="26.7109375" customWidth="1"/>
    <col min="5" max="5" width="8.7109375" customWidth="1"/>
    <col min="6" max="6" width="12.7109375" customWidth="1"/>
    <col min="7" max="10" width="11.7109375" customWidth="1"/>
    <col min="11" max="11" width="12.28515625" customWidth="1"/>
    <col min="12" max="12" width="12.7109375" customWidth="1"/>
    <col min="13" max="13" width="12.28515625" customWidth="1"/>
    <col min="14" max="16" width="12.7109375" customWidth="1"/>
  </cols>
  <sheetData>
    <row r="1" spans="1:16" ht="18.75" x14ac:dyDescent="0.3">
      <c r="A1" s="10"/>
      <c r="B1" s="10"/>
      <c r="C1" s="10"/>
      <c r="D1" s="10"/>
      <c r="E1" s="10"/>
      <c r="F1" s="10"/>
      <c r="G1" s="11"/>
      <c r="H1" s="10"/>
      <c r="I1" s="10"/>
      <c r="J1" s="10"/>
      <c r="K1" s="10"/>
      <c r="L1" s="10"/>
      <c r="M1" s="10"/>
      <c r="N1" s="10"/>
      <c r="O1" s="10"/>
      <c r="P1" s="10"/>
    </row>
    <row r="2" spans="1:16" ht="18.75" x14ac:dyDescent="0.3">
      <c r="A2" s="10"/>
      <c r="B2" s="10"/>
      <c r="C2" s="10"/>
      <c r="D2" s="10"/>
      <c r="E2" s="10"/>
      <c r="F2" s="10"/>
      <c r="G2" s="11"/>
      <c r="H2" s="10"/>
      <c r="I2" s="10"/>
      <c r="J2" s="10"/>
      <c r="K2" s="10"/>
      <c r="L2" s="10"/>
      <c r="M2" s="10"/>
      <c r="N2" s="10"/>
      <c r="O2" s="10"/>
      <c r="P2" s="10"/>
    </row>
    <row r="3" spans="1:16" ht="18.75" x14ac:dyDescent="0.3">
      <c r="A3" s="10"/>
      <c r="B3" s="10"/>
      <c r="C3" s="10"/>
      <c r="D3" s="10"/>
      <c r="E3" s="10"/>
      <c r="F3" s="10"/>
      <c r="G3" s="11"/>
      <c r="H3" s="10"/>
      <c r="I3" s="10"/>
      <c r="J3" s="10"/>
      <c r="K3" s="10"/>
      <c r="L3" s="10"/>
      <c r="M3" s="10"/>
      <c r="N3" s="10"/>
      <c r="O3" s="10"/>
      <c r="P3" s="10"/>
    </row>
    <row r="4" spans="1:16" ht="18.75" x14ac:dyDescent="0.3">
      <c r="A4" s="10"/>
      <c r="B4" s="10"/>
      <c r="C4" s="10"/>
      <c r="D4" s="10"/>
      <c r="E4" s="10"/>
      <c r="F4" s="10"/>
      <c r="G4" s="11"/>
      <c r="H4" s="10"/>
      <c r="I4" s="10"/>
      <c r="J4" s="10"/>
      <c r="K4" s="10"/>
      <c r="L4" s="10"/>
      <c r="M4" s="10"/>
      <c r="N4" s="10"/>
      <c r="O4" s="10"/>
      <c r="P4" s="10"/>
    </row>
    <row r="5" spans="1:16" ht="18.75" x14ac:dyDescent="0.3">
      <c r="A5" s="10"/>
      <c r="B5" s="10"/>
      <c r="C5" s="10"/>
      <c r="D5" s="10"/>
      <c r="E5" s="10"/>
      <c r="F5" s="10"/>
      <c r="G5" s="11"/>
      <c r="H5" s="10"/>
      <c r="I5" s="10"/>
      <c r="J5" s="10"/>
      <c r="K5" s="10"/>
      <c r="L5" s="10"/>
      <c r="M5" s="10"/>
      <c r="N5" s="10"/>
      <c r="O5" s="10"/>
      <c r="P5" s="10"/>
    </row>
    <row r="6" spans="1:16" ht="18.75" x14ac:dyDescent="0.3">
      <c r="A6" s="10"/>
      <c r="B6" s="10"/>
      <c r="C6" s="10"/>
      <c r="D6" s="10"/>
      <c r="E6" s="10"/>
      <c r="F6" s="10"/>
      <c r="G6" s="21"/>
      <c r="H6" s="10"/>
      <c r="I6" s="10"/>
      <c r="J6" s="10"/>
      <c r="K6" s="10"/>
      <c r="L6" s="10"/>
      <c r="M6" s="10"/>
      <c r="N6" s="10"/>
      <c r="O6" s="10"/>
      <c r="P6" s="10"/>
    </row>
    <row r="7" spans="1:16" ht="18.75" x14ac:dyDescent="0.3">
      <c r="A7" s="10" t="s">
        <v>8</v>
      </c>
      <c r="B7" s="10"/>
      <c r="C7" s="10"/>
      <c r="D7" s="10"/>
      <c r="E7" s="10"/>
      <c r="F7" s="10"/>
      <c r="G7" s="11"/>
      <c r="H7" s="10"/>
      <c r="I7" s="10"/>
      <c r="J7" s="10"/>
      <c r="K7" s="10"/>
      <c r="L7" s="10"/>
      <c r="M7" s="10"/>
      <c r="N7" s="10"/>
      <c r="O7" s="10"/>
      <c r="P7" s="10"/>
    </row>
    <row r="8" spans="1:16" ht="18.75" x14ac:dyDescent="0.3">
      <c r="A8" s="10" t="s">
        <v>71</v>
      </c>
      <c r="B8" s="10"/>
      <c r="C8" s="10"/>
      <c r="D8" s="10"/>
      <c r="E8" s="10"/>
      <c r="F8" s="10"/>
      <c r="G8" s="11"/>
      <c r="H8" s="10"/>
      <c r="I8" s="10"/>
      <c r="J8" s="10"/>
      <c r="K8" s="10"/>
      <c r="L8" s="10"/>
      <c r="M8" s="10"/>
      <c r="N8" s="10"/>
      <c r="O8" s="10"/>
      <c r="P8" s="10"/>
    </row>
    <row r="9" spans="1:16" ht="15.75" x14ac:dyDescent="0.25">
      <c r="A9" s="17" t="s">
        <v>15</v>
      </c>
      <c r="B9" s="4"/>
      <c r="C9" s="4"/>
      <c r="D9" s="4"/>
      <c r="E9" s="4"/>
      <c r="F9" s="4"/>
      <c r="G9" s="12"/>
      <c r="H9" s="4"/>
      <c r="I9" s="4"/>
      <c r="J9" s="4"/>
      <c r="K9" s="4"/>
      <c r="L9" s="4"/>
      <c r="M9" s="4"/>
      <c r="N9" s="4"/>
      <c r="O9" s="4"/>
      <c r="P9" s="4"/>
    </row>
    <row r="10" spans="1:16" ht="15" customHeight="1" x14ac:dyDescent="0.25">
      <c r="A10" s="14"/>
      <c r="B10" s="4"/>
      <c r="C10" s="4"/>
      <c r="D10" s="12"/>
      <c r="E10" s="4"/>
      <c r="F10" s="4"/>
      <c r="G10" s="4"/>
      <c r="H10" s="4"/>
      <c r="I10" s="4"/>
      <c r="J10" s="4"/>
      <c r="K10" s="4"/>
      <c r="L10" s="4"/>
      <c r="M10" s="4"/>
    </row>
    <row r="11" spans="1:16" ht="30" customHeight="1" x14ac:dyDescent="0.25">
      <c r="A11" s="22" t="s">
        <v>21</v>
      </c>
      <c r="B11" s="23" t="s">
        <v>22</v>
      </c>
      <c r="C11" s="19" t="s">
        <v>23</v>
      </c>
      <c r="D11" s="26" t="s">
        <v>24</v>
      </c>
      <c r="E11" s="27" t="s">
        <v>25</v>
      </c>
      <c r="F11" s="22" t="s">
        <v>35</v>
      </c>
      <c r="G11" s="22" t="s">
        <v>36</v>
      </c>
      <c r="H11" s="22" t="s">
        <v>38</v>
      </c>
      <c r="I11" s="22" t="s">
        <v>37</v>
      </c>
      <c r="J11" s="22" t="s">
        <v>26</v>
      </c>
      <c r="K11" s="22" t="s">
        <v>27</v>
      </c>
      <c r="L11" s="22" t="s">
        <v>28</v>
      </c>
      <c r="M11" s="22" t="s">
        <v>29</v>
      </c>
      <c r="N11" s="22" t="s">
        <v>30</v>
      </c>
      <c r="O11" s="24" t="s">
        <v>31</v>
      </c>
      <c r="P11" s="25"/>
    </row>
    <row r="12" spans="1:16" ht="48" customHeight="1" x14ac:dyDescent="0.25">
      <c r="A12" s="22"/>
      <c r="B12" s="23"/>
      <c r="C12" s="19" t="s">
        <v>33</v>
      </c>
      <c r="D12" s="26"/>
      <c r="E12" s="28"/>
      <c r="F12" s="22"/>
      <c r="G12" s="22"/>
      <c r="H12" s="22"/>
      <c r="I12" s="23"/>
      <c r="J12" s="22"/>
      <c r="K12" s="23"/>
      <c r="L12" s="23"/>
      <c r="M12" s="23"/>
      <c r="N12" s="23"/>
      <c r="O12" s="18" t="s">
        <v>32</v>
      </c>
      <c r="P12" s="18" t="s">
        <v>39</v>
      </c>
    </row>
    <row r="13" spans="1:16" ht="30" customHeight="1" x14ac:dyDescent="0.25">
      <c r="A13" s="1">
        <v>1</v>
      </c>
      <c r="B13" s="16" t="s">
        <v>16</v>
      </c>
      <c r="C13" s="8" t="s">
        <v>40</v>
      </c>
      <c r="D13" s="1" t="s">
        <v>17</v>
      </c>
      <c r="E13" s="2" t="s">
        <v>34</v>
      </c>
      <c r="F13" s="3">
        <v>0</v>
      </c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ht="30" customHeight="1" x14ac:dyDescent="0.25">
      <c r="A14" s="1">
        <f>A13+1</f>
        <v>2</v>
      </c>
      <c r="B14" s="16" t="s">
        <v>16</v>
      </c>
      <c r="C14" s="9" t="s">
        <v>41</v>
      </c>
      <c r="D14" s="1" t="s">
        <v>18</v>
      </c>
      <c r="E14" s="2" t="s">
        <v>34</v>
      </c>
      <c r="F14" s="3">
        <v>0</v>
      </c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ht="30" customHeight="1" x14ac:dyDescent="0.25">
      <c r="A15" s="1">
        <v>3</v>
      </c>
      <c r="B15" s="16" t="s">
        <v>16</v>
      </c>
      <c r="C15" s="9" t="s">
        <v>48</v>
      </c>
      <c r="D15" s="1" t="s">
        <v>19</v>
      </c>
      <c r="E15" s="2" t="s">
        <v>34</v>
      </c>
      <c r="F15" s="3">
        <v>0</v>
      </c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30" customHeight="1" x14ac:dyDescent="0.25">
      <c r="A16" s="1">
        <f t="shared" ref="A16:A25" si="0">A15+1</f>
        <v>4</v>
      </c>
      <c r="B16" s="16" t="s">
        <v>16</v>
      </c>
      <c r="C16" s="9" t="s">
        <v>49</v>
      </c>
      <c r="D16" s="1" t="s">
        <v>20</v>
      </c>
      <c r="E16" s="2" t="s">
        <v>34</v>
      </c>
      <c r="F16" s="15">
        <v>0</v>
      </c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1:16" ht="30" customHeight="1" x14ac:dyDescent="0.25">
      <c r="A17" s="1">
        <f t="shared" si="0"/>
        <v>5</v>
      </c>
      <c r="B17" s="2" t="s">
        <v>7</v>
      </c>
      <c r="C17" s="8" t="s">
        <v>43</v>
      </c>
      <c r="D17" s="1" t="s">
        <v>0</v>
      </c>
      <c r="E17" s="2" t="s">
        <v>34</v>
      </c>
      <c r="F17" s="15">
        <v>7500</v>
      </c>
      <c r="G17" s="15">
        <v>0</v>
      </c>
      <c r="H17" s="15">
        <v>4500</v>
      </c>
      <c r="I17" s="15"/>
      <c r="J17" s="15">
        <v>375</v>
      </c>
      <c r="K17" s="15"/>
      <c r="L17" s="15">
        <f>SUM(F17:K17)</f>
        <v>12375</v>
      </c>
      <c r="M17" s="15">
        <f>362.25+289.81</f>
        <v>652.05999999999995</v>
      </c>
      <c r="N17" s="15">
        <f t="shared" ref="N17:N27" si="1">+L17-M17</f>
        <v>11722.94</v>
      </c>
      <c r="O17" s="15"/>
      <c r="P17" s="15"/>
    </row>
    <row r="18" spans="1:16" ht="30" customHeight="1" x14ac:dyDescent="0.25">
      <c r="A18" s="1">
        <f t="shared" si="0"/>
        <v>6</v>
      </c>
      <c r="B18" s="2" t="s">
        <v>7</v>
      </c>
      <c r="C18" s="8" t="s">
        <v>6</v>
      </c>
      <c r="D18" s="1" t="s">
        <v>42</v>
      </c>
      <c r="E18" s="2" t="s">
        <v>34</v>
      </c>
      <c r="F18" s="15">
        <v>10966</v>
      </c>
      <c r="G18" s="15"/>
      <c r="H18" s="15">
        <v>1550</v>
      </c>
      <c r="I18" s="15">
        <v>0</v>
      </c>
      <c r="J18" s="15">
        <v>375</v>
      </c>
      <c r="K18" s="15"/>
      <c r="L18" s="15">
        <f t="shared" ref="L18:L27" si="2">SUM(F18:K18)</f>
        <v>12891</v>
      </c>
      <c r="M18" s="15">
        <f>529.66+423.98</f>
        <v>953.64</v>
      </c>
      <c r="N18" s="15">
        <f t="shared" si="1"/>
        <v>11937.36</v>
      </c>
      <c r="O18" s="15"/>
      <c r="P18" s="15"/>
    </row>
    <row r="19" spans="1:16" ht="30" customHeight="1" x14ac:dyDescent="0.25">
      <c r="A19" s="1">
        <f t="shared" si="0"/>
        <v>7</v>
      </c>
      <c r="B19" s="2" t="s">
        <v>7</v>
      </c>
      <c r="C19" s="8" t="s">
        <v>44</v>
      </c>
      <c r="D19" s="8" t="s">
        <v>45</v>
      </c>
      <c r="E19" s="2" t="s">
        <v>34</v>
      </c>
      <c r="F19" s="15">
        <v>7500</v>
      </c>
      <c r="G19" s="15"/>
      <c r="H19" s="15">
        <v>1500</v>
      </c>
      <c r="I19" s="15">
        <v>0</v>
      </c>
      <c r="J19" s="15">
        <v>375</v>
      </c>
      <c r="K19" s="15"/>
      <c r="L19" s="15">
        <f t="shared" si="2"/>
        <v>9375</v>
      </c>
      <c r="M19" s="15">
        <f>362.25+126+260.92</f>
        <v>749.17000000000007</v>
      </c>
      <c r="N19" s="15">
        <f t="shared" si="1"/>
        <v>8625.83</v>
      </c>
      <c r="O19" s="15"/>
      <c r="P19" s="15"/>
    </row>
    <row r="20" spans="1:16" ht="30" customHeight="1" x14ac:dyDescent="0.25">
      <c r="A20" s="1">
        <f t="shared" si="0"/>
        <v>8</v>
      </c>
      <c r="B20" s="2" t="s">
        <v>7</v>
      </c>
      <c r="C20" s="8" t="s">
        <v>9</v>
      </c>
      <c r="D20" s="1" t="s">
        <v>2</v>
      </c>
      <c r="E20" s="2" t="s">
        <v>34</v>
      </c>
      <c r="F20" s="15">
        <v>4243</v>
      </c>
      <c r="G20" s="15"/>
      <c r="H20" s="15">
        <v>1550</v>
      </c>
      <c r="I20" s="15">
        <v>500</v>
      </c>
      <c r="J20" s="15">
        <v>0</v>
      </c>
      <c r="K20" s="15"/>
      <c r="L20" s="15">
        <f t="shared" si="2"/>
        <v>6293</v>
      </c>
      <c r="M20" s="15">
        <f>204.94+84.58+116.49</f>
        <v>406.01</v>
      </c>
      <c r="N20" s="15">
        <f t="shared" si="1"/>
        <v>5886.99</v>
      </c>
      <c r="O20" s="15"/>
      <c r="P20" s="15"/>
    </row>
    <row r="21" spans="1:16" ht="30" customHeight="1" x14ac:dyDescent="0.25">
      <c r="A21" s="1">
        <f t="shared" si="0"/>
        <v>9</v>
      </c>
      <c r="B21" s="2" t="s">
        <v>7</v>
      </c>
      <c r="C21" s="8" t="s">
        <v>46</v>
      </c>
      <c r="D21" s="1" t="s">
        <v>3</v>
      </c>
      <c r="E21" s="2" t="s">
        <v>34</v>
      </c>
      <c r="F21" s="15">
        <v>3166.38</v>
      </c>
      <c r="G21" s="15"/>
      <c r="H21" s="15">
        <v>1550</v>
      </c>
      <c r="I21" s="15">
        <v>0</v>
      </c>
      <c r="J21" s="15">
        <v>0</v>
      </c>
      <c r="K21" s="15"/>
      <c r="L21" s="15">
        <f t="shared" si="2"/>
        <v>4716.38</v>
      </c>
      <c r="M21" s="15">
        <f>152.94+61.42+28.81</f>
        <v>243.17000000000002</v>
      </c>
      <c r="N21" s="15">
        <f>+L21-M21</f>
        <v>4473.21</v>
      </c>
      <c r="O21" s="15"/>
      <c r="P21" s="15"/>
    </row>
    <row r="22" spans="1:16" ht="30" customHeight="1" x14ac:dyDescent="0.25">
      <c r="A22" s="1">
        <f t="shared" si="0"/>
        <v>10</v>
      </c>
      <c r="B22" s="2" t="s">
        <v>7</v>
      </c>
      <c r="C22" s="8" t="s">
        <v>47</v>
      </c>
      <c r="D22" s="1" t="s">
        <v>1</v>
      </c>
      <c r="E22" s="2" t="s">
        <v>34</v>
      </c>
      <c r="F22" s="15">
        <v>3531</v>
      </c>
      <c r="G22" s="15"/>
      <c r="H22" s="15">
        <v>2841.75</v>
      </c>
      <c r="I22" s="15">
        <v>0</v>
      </c>
      <c r="J22" s="15">
        <v>0</v>
      </c>
      <c r="K22" s="15"/>
      <c r="L22" s="15">
        <f t="shared" si="2"/>
        <v>6372.75</v>
      </c>
      <c r="M22" s="15">
        <f>170.55+52.92</f>
        <v>223.47000000000003</v>
      </c>
      <c r="N22" s="15">
        <f t="shared" si="1"/>
        <v>6149.28</v>
      </c>
      <c r="O22" s="15"/>
      <c r="P22" s="15"/>
    </row>
    <row r="23" spans="1:16" ht="30" customHeight="1" x14ac:dyDescent="0.25">
      <c r="A23" s="1">
        <f t="shared" si="0"/>
        <v>11</v>
      </c>
      <c r="B23" s="2" t="s">
        <v>7</v>
      </c>
      <c r="C23" s="8" t="s">
        <v>10</v>
      </c>
      <c r="D23" s="1" t="s">
        <v>56</v>
      </c>
      <c r="E23" s="2" t="s">
        <v>34</v>
      </c>
      <c r="F23" s="15">
        <v>5697</v>
      </c>
      <c r="G23" s="15">
        <v>106.83</v>
      </c>
      <c r="H23" s="15">
        <v>1800</v>
      </c>
      <c r="I23" s="15">
        <v>500</v>
      </c>
      <c r="J23" s="15"/>
      <c r="K23" s="15"/>
      <c r="L23" s="15">
        <f>SUM(F23:K23)</f>
        <v>8103.83</v>
      </c>
      <c r="M23" s="15">
        <f>280.32+192.27</f>
        <v>472.59000000000003</v>
      </c>
      <c r="N23" s="15">
        <f t="shared" si="1"/>
        <v>7631.24</v>
      </c>
      <c r="O23" s="15"/>
      <c r="P23" s="15"/>
    </row>
    <row r="24" spans="1:16" ht="30" customHeight="1" x14ac:dyDescent="0.25">
      <c r="A24" s="1">
        <f t="shared" si="0"/>
        <v>12</v>
      </c>
      <c r="B24" s="2" t="s">
        <v>7</v>
      </c>
      <c r="C24" s="8" t="s">
        <v>11</v>
      </c>
      <c r="D24" s="1" t="s">
        <v>4</v>
      </c>
      <c r="E24" s="2" t="s">
        <v>34</v>
      </c>
      <c r="F24" s="15">
        <v>7392</v>
      </c>
      <c r="G24" s="15"/>
      <c r="H24" s="15">
        <v>2300</v>
      </c>
      <c r="I24" s="15">
        <v>500</v>
      </c>
      <c r="J24" s="15"/>
      <c r="K24" s="15"/>
      <c r="L24" s="15">
        <f t="shared" si="2"/>
        <v>10192</v>
      </c>
      <c r="M24" s="15">
        <f>357.03+312.01</f>
        <v>669.04</v>
      </c>
      <c r="N24" s="15">
        <f t="shared" si="1"/>
        <v>9522.9599999999991</v>
      </c>
      <c r="O24" s="15"/>
      <c r="P24" s="15"/>
    </row>
    <row r="25" spans="1:16" ht="30" customHeight="1" x14ac:dyDescent="0.25">
      <c r="A25" s="1">
        <f t="shared" si="0"/>
        <v>13</v>
      </c>
      <c r="B25" s="2" t="s">
        <v>7</v>
      </c>
      <c r="C25" s="8" t="s">
        <v>54</v>
      </c>
      <c r="D25" s="1" t="s">
        <v>55</v>
      </c>
      <c r="E25" s="2" t="s">
        <v>34</v>
      </c>
      <c r="F25" s="15">
        <v>6750</v>
      </c>
      <c r="G25" s="15"/>
      <c r="H25" s="15">
        <v>250</v>
      </c>
      <c r="I25" s="15">
        <v>0</v>
      </c>
      <c r="J25" s="15"/>
      <c r="K25" s="15"/>
      <c r="L25" s="15">
        <f t="shared" si="2"/>
        <v>7000</v>
      </c>
      <c r="M25" s="15">
        <f>326.02+160.44</f>
        <v>486.46</v>
      </c>
      <c r="N25" s="15">
        <f t="shared" si="1"/>
        <v>6513.54</v>
      </c>
      <c r="O25" s="15"/>
      <c r="P25" s="15"/>
    </row>
    <row r="26" spans="1:16" ht="30" customHeight="1" x14ac:dyDescent="0.25">
      <c r="A26" s="1">
        <v>15</v>
      </c>
      <c r="B26" s="2" t="s">
        <v>7</v>
      </c>
      <c r="C26" s="8" t="s">
        <v>12</v>
      </c>
      <c r="D26" s="1" t="s">
        <v>5</v>
      </c>
      <c r="E26" s="2" t="s">
        <v>34</v>
      </c>
      <c r="F26" s="15">
        <v>3166.38</v>
      </c>
      <c r="G26" s="15"/>
      <c r="H26" s="15">
        <v>1550</v>
      </c>
      <c r="I26" s="15">
        <v>0</v>
      </c>
      <c r="J26" s="15"/>
      <c r="K26" s="15"/>
      <c r="L26" s="15">
        <f t="shared" si="2"/>
        <v>4716.38</v>
      </c>
      <c r="M26" s="15">
        <f>152.94+25.22</f>
        <v>178.16</v>
      </c>
      <c r="N26" s="15">
        <f t="shared" si="1"/>
        <v>4538.22</v>
      </c>
      <c r="O26" s="15"/>
      <c r="P26" s="15"/>
    </row>
    <row r="27" spans="1:16" ht="30" customHeight="1" x14ac:dyDescent="0.25">
      <c r="A27" s="1">
        <v>16</v>
      </c>
      <c r="B27" s="2">
        <v>11</v>
      </c>
      <c r="C27" s="8" t="s">
        <v>50</v>
      </c>
      <c r="D27" s="1" t="s">
        <v>51</v>
      </c>
      <c r="E27" s="2" t="s">
        <v>34</v>
      </c>
      <c r="F27" s="15">
        <v>3166.38</v>
      </c>
      <c r="G27" s="15"/>
      <c r="H27" s="15">
        <v>1449</v>
      </c>
      <c r="I27" s="15"/>
      <c r="J27" s="15"/>
      <c r="K27" s="15"/>
      <c r="L27" s="15">
        <f t="shared" si="2"/>
        <v>4615.38</v>
      </c>
      <c r="M27" s="15">
        <f>152.94+22.27</f>
        <v>175.21</v>
      </c>
      <c r="N27" s="15">
        <f t="shared" si="1"/>
        <v>4440.17</v>
      </c>
      <c r="O27" s="15"/>
      <c r="P27" s="15"/>
    </row>
    <row r="28" spans="1:16" ht="30" customHeight="1" x14ac:dyDescent="0.25">
      <c r="A28" s="1">
        <v>18</v>
      </c>
      <c r="B28" s="2">
        <v>184</v>
      </c>
      <c r="C28" s="8" t="s">
        <v>61</v>
      </c>
      <c r="D28" s="8" t="s">
        <v>13</v>
      </c>
      <c r="E28" s="2" t="s">
        <v>34</v>
      </c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1:16" ht="30" customHeight="1" x14ac:dyDescent="0.25">
      <c r="A29" s="1">
        <v>19</v>
      </c>
      <c r="B29" s="2">
        <v>183</v>
      </c>
      <c r="C29" s="8" t="s">
        <v>52</v>
      </c>
      <c r="D29" s="1" t="s">
        <v>53</v>
      </c>
      <c r="E29" s="2" t="s">
        <v>34</v>
      </c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1" spans="1:16" ht="15" customHeight="1" x14ac:dyDescent="0.25"/>
    <row r="33" spans="1:16" s="6" customFormat="1" ht="0.95" customHeight="1" x14ac:dyDescent="0.25">
      <c r="A33"/>
      <c r="B3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20"/>
    </row>
    <row r="34" spans="1:16" x14ac:dyDescent="0.25">
      <c r="C34" s="7" t="s">
        <v>14</v>
      </c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6" x14ac:dyDescent="0.25">
      <c r="B35" s="5"/>
      <c r="C35" s="7" t="s">
        <v>58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</row>
  </sheetData>
  <mergeCells count="14">
    <mergeCell ref="G11:G12"/>
    <mergeCell ref="A11:A12"/>
    <mergeCell ref="B11:B12"/>
    <mergeCell ref="D11:D12"/>
    <mergeCell ref="E11:E12"/>
    <mergeCell ref="F11:F12"/>
    <mergeCell ref="N11:N12"/>
    <mergeCell ref="O11:P11"/>
    <mergeCell ref="H11:H12"/>
    <mergeCell ref="I11:I12"/>
    <mergeCell ref="J11:J12"/>
    <mergeCell ref="K11:K12"/>
    <mergeCell ref="L11:L12"/>
    <mergeCell ref="M11:M12"/>
  </mergeCells>
  <printOptions horizontalCentered="1"/>
  <pageMargins left="0.19685039370078741" right="0.19685039370078741" top="0.39370078740157483" bottom="0.19685039370078741" header="0.19685039370078741" footer="0.19685039370078741"/>
  <pageSetup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</vt:lpstr>
      <vt:lpstr>FEBRERO</vt:lpstr>
      <vt:lpstr>MARZO 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Kestler Diaz</dc:creator>
  <cp:lastModifiedBy>Coordinacion Financiera</cp:lastModifiedBy>
  <cp:lastPrinted>2023-09-19T15:53:15Z</cp:lastPrinted>
  <dcterms:created xsi:type="dcterms:W3CDTF">2017-02-15T21:48:50Z</dcterms:created>
  <dcterms:modified xsi:type="dcterms:W3CDTF">2024-03-07T20:11:00Z</dcterms:modified>
</cp:coreProperties>
</file>